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0730" windowHeight="11310"/>
  </bookViews>
  <sheets>
    <sheet name="SMCP CALCULATOR" sheetId="1" r:id="rId1"/>
    <sheet name="PREMIUM CHART" sheetId="2" state="hidden" r:id="rId2"/>
    <sheet name="Sheet3" sheetId="3" state="hidden" r:id="rId3"/>
    <sheet name="Premium-Chart" sheetId="4" r:id="rId4"/>
    <sheet name="Num_To_Text" sheetId="5" r:id="rId5"/>
  </sheets>
  <definedNames>
    <definedName name="Elegible">'SMCP CALCULATOR'!$T$9:$T$11</definedName>
    <definedName name="Opt">'SMCP CALCULATOR'!$T$29:$T$42</definedName>
    <definedName name="_xlnm.Print_Area" localSheetId="0">'SMCP CALCULATOR'!$A$2:$O$37</definedName>
    <definedName name="Summary">#REF!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/>
  <c r="H7" l="1"/>
  <c r="K7" s="1"/>
  <c r="A34" i="4"/>
  <c r="J28" i="1" l="1"/>
  <c r="H10" l="1"/>
  <c r="B22" i="3"/>
  <c r="M28" i="1"/>
  <c r="A34" s="1"/>
  <c r="J27"/>
  <c r="G24"/>
  <c r="H24" s="1"/>
  <c r="I24" s="1"/>
  <c r="G23"/>
  <c r="H23" s="1"/>
  <c r="I23" s="1"/>
  <c r="G22"/>
  <c r="H22" s="1"/>
  <c r="I22" s="1"/>
  <c r="G21"/>
  <c r="H21" s="1"/>
  <c r="I21" s="1"/>
  <c r="G20"/>
  <c r="H20" s="1"/>
  <c r="I20" s="1"/>
  <c r="G19"/>
  <c r="H19" s="1"/>
  <c r="I19" s="1"/>
  <c r="K18"/>
  <c r="G18"/>
  <c r="H18" s="1"/>
  <c r="I18" s="1"/>
  <c r="L18" s="1"/>
  <c r="K17"/>
  <c r="G17"/>
  <c r="H17" s="1"/>
  <c r="I17" s="1"/>
  <c r="L17" s="1"/>
  <c r="K16"/>
  <c r="G16"/>
  <c r="H16" s="1"/>
  <c r="I16" s="1"/>
  <c r="L16" s="1"/>
  <c r="K15"/>
  <c r="G15"/>
  <c r="H15" s="1"/>
  <c r="I15" s="1"/>
  <c r="L15" s="1"/>
  <c r="G14"/>
  <c r="H14" s="1"/>
  <c r="I14" s="1"/>
  <c r="G13"/>
  <c r="H13" s="1"/>
  <c r="I13" s="1"/>
  <c r="G12"/>
  <c r="H12" s="1"/>
  <c r="I12" s="1"/>
  <c r="G11"/>
  <c r="G9"/>
  <c r="L7"/>
  <c r="F30"/>
  <c r="A5"/>
  <c r="R4"/>
  <c r="H11" l="1"/>
  <c r="I11" s="1"/>
  <c r="J11" s="1"/>
  <c r="L20"/>
  <c r="L22"/>
  <c r="L24"/>
  <c r="Q34"/>
  <c r="L19"/>
  <c r="L21"/>
  <c r="L23"/>
  <c r="J12"/>
  <c r="K12" s="1"/>
  <c r="L12" s="1"/>
  <c r="K13"/>
  <c r="L13" s="1"/>
  <c r="K14"/>
  <c r="L14" s="1"/>
  <c r="I25" l="1"/>
  <c r="I27" s="1"/>
  <c r="J25"/>
  <c r="K11"/>
  <c r="I28" l="1"/>
  <c r="I29" s="1"/>
  <c r="K25"/>
  <c r="F33" s="1"/>
  <c r="J33" s="1"/>
  <c r="L11"/>
  <c r="M12" s="1"/>
  <c r="L25" l="1"/>
  <c r="H27"/>
  <c r="H28" l="1"/>
  <c r="H29" s="1"/>
  <c r="B30" l="1"/>
  <c r="B33" s="1"/>
  <c r="L33" s="1"/>
  <c r="L27"/>
  <c r="L30" l="1"/>
  <c r="I30" l="1"/>
  <c r="B1" i="5"/>
  <c r="C1" s="1"/>
  <c r="B7" l="1"/>
  <c r="C7" s="1"/>
  <c r="B5"/>
  <c r="C5" s="1"/>
  <c r="B3"/>
  <c r="C3" s="1"/>
  <c r="B6"/>
  <c r="C6" s="1"/>
  <c r="B4"/>
  <c r="C4" s="1"/>
  <c r="A15" l="1"/>
  <c r="A17" l="1"/>
  <c r="B17" s="1"/>
  <c r="C17" s="1"/>
  <c r="A20" s="1"/>
  <c r="A19" l="1"/>
  <c r="A31" i="1" s="1"/>
</calcChain>
</file>

<file path=xl/sharedStrings.xml><?xml version="1.0" encoding="utf-8"?>
<sst xmlns="http://schemas.openxmlformats.org/spreadsheetml/2006/main" count="401" uniqueCount="224">
  <si>
    <t>THE NEW INDIA ASSURANCE CO LTD</t>
  </si>
  <si>
    <t>Name of Employee</t>
  </si>
  <si>
    <t>Effective Date</t>
  </si>
  <si>
    <t>Status</t>
  </si>
  <si>
    <t>S.R.No.</t>
  </si>
  <si>
    <t>Employees</t>
  </si>
  <si>
    <t>Opted Sum Insured</t>
  </si>
  <si>
    <t>Slabs</t>
  </si>
  <si>
    <t>00-35</t>
  </si>
  <si>
    <t>36-45</t>
  </si>
  <si>
    <t>46-55</t>
  </si>
  <si>
    <t>56-65</t>
  </si>
  <si>
    <t>66-70</t>
  </si>
  <si>
    <t>71-75</t>
  </si>
  <si>
    <t>76-90</t>
  </si>
  <si>
    <t>Premium WEF</t>
  </si>
  <si>
    <t>Month No</t>
  </si>
  <si>
    <t>No of Months</t>
  </si>
  <si>
    <t>Basic</t>
  </si>
  <si>
    <t>Elegible</t>
  </si>
  <si>
    <t>Name of Family Members</t>
  </si>
  <si>
    <t>Relation with Employee</t>
  </si>
  <si>
    <t>Dependency</t>
  </si>
  <si>
    <t>Birth Date</t>
  </si>
  <si>
    <t>DD</t>
  </si>
  <si>
    <t>MM</t>
  </si>
  <si>
    <t>YYYY</t>
  </si>
  <si>
    <t>Date of Birth</t>
  </si>
  <si>
    <t>Opted Premium
(A)</t>
  </si>
  <si>
    <t>Eligible Premium
(B)</t>
  </si>
  <si>
    <t>Co.'s Contribution 
(C = B*75%)</t>
  </si>
  <si>
    <t>Net Premium Payable
(A - C)</t>
  </si>
  <si>
    <t>Account Code</t>
  </si>
  <si>
    <t>Spouse</t>
  </si>
  <si>
    <t>Dependent</t>
  </si>
  <si>
    <t>Dependent Child</t>
  </si>
  <si>
    <t>AGREEMENT</t>
  </si>
  <si>
    <t xml:space="preserve">Father </t>
  </si>
  <si>
    <t>ND / Dp Parent</t>
  </si>
  <si>
    <t xml:space="preserve">Mother </t>
  </si>
  <si>
    <t>Father In Law</t>
  </si>
  <si>
    <t>ND / Dp in law</t>
  </si>
  <si>
    <t>Mother In Law</t>
  </si>
  <si>
    <t>Non.Dep.Child</t>
  </si>
  <si>
    <t>Non Depdnt</t>
  </si>
  <si>
    <t>Signature of Employee</t>
  </si>
  <si>
    <t>Sub-Total</t>
  </si>
  <si>
    <t>Total Premium Payable</t>
  </si>
  <si>
    <t>₹</t>
  </si>
  <si>
    <t>Add: GST</t>
  </si>
  <si>
    <t>Opt</t>
  </si>
  <si>
    <t>Total Annual Premium</t>
  </si>
  <si>
    <t xml:space="preserve">Premium for </t>
  </si>
  <si>
    <t>Month(s)</t>
  </si>
  <si>
    <t>2000000</t>
  </si>
  <si>
    <t>2500000</t>
  </si>
  <si>
    <t>3000000</t>
  </si>
  <si>
    <t>3500000</t>
  </si>
  <si>
    <t>4000000</t>
  </si>
  <si>
    <t>5000000</t>
  </si>
  <si>
    <t xml:space="preserve">Parents/Parents-in-law </t>
  </si>
  <si>
    <t>HO:HR:CIR:</t>
  </si>
  <si>
    <t>30.5.2013</t>
  </si>
  <si>
    <t>- Annexure 'C'</t>
  </si>
  <si>
    <t>NEW PREMIUM RATE CHART</t>
  </si>
  <si>
    <t>GMC Rates as per revised terms with effect from 01.07.2013</t>
  </si>
  <si>
    <t>I. Premium applicable for Employee / Retired Employee / Spouse of Deceased Employee / Spouse</t>
  </si>
  <si>
    <t>of ‘Retired and Deceased’ Employee:</t>
  </si>
  <si>
    <t>AGE BAND (IN YEARS)</t>
  </si>
  <si>
    <t>SUM INSURED</t>
  </si>
  <si>
    <t>3 lacs</t>
  </si>
  <si>
    <t>4 lacs</t>
  </si>
  <si>
    <t>5 lacs</t>
  </si>
  <si>
    <t>6 lacs</t>
  </si>
  <si>
    <t>8 lacs</t>
  </si>
  <si>
    <t>10 lacs</t>
  </si>
  <si>
    <t>12 lacs</t>
  </si>
  <si>
    <t>15 lacs</t>
  </si>
  <si>
    <t>20 lacs</t>
  </si>
  <si>
    <t>II. Premium applicable for Spouse of the Employee / Spouse of the Retired Employee:</t>
  </si>
  <si>
    <t>III. Premium for Family Member of the Employee / Retired Employee (Other than Employee's Parents/Parents-in-law):</t>
  </si>
  <si>
    <t>Enclosure 3 - GMC Policy -    Premium Rate Chart - Annexure C</t>
  </si>
  <si>
    <t>Page No. 1 of 2</t>
  </si>
  <si>
    <t>3 May 2013</t>
  </si>
  <si>
    <t>(Page 2)</t>
  </si>
  <si>
    <t>GMC Rates for GIPSA Companies as per revised terms with effect from 01.07.2013</t>
  </si>
  <si>
    <t>IV. Premium for Parents/Parents-in-law of the Employee / Retired Employee:</t>
  </si>
  <si>
    <t>Notes :</t>
  </si>
  <si>
    <t>1. Premium computed for the employee's   / retired Employee's family as above shall be loaded by</t>
  </si>
  <si>
    <t>the Fees payable to the TPA on a percentage basis.</t>
  </si>
  <si>
    <t>2. After loading premium with such TPA fees on a percentage basis, Service Tax there on, as per</t>
  </si>
  <si>
    <t>applicable rates, shall be calculated and added there to.</t>
  </si>
  <si>
    <t>Page No. 2 of 2</t>
  </si>
  <si>
    <t>Month</t>
  </si>
  <si>
    <t>Amount</t>
  </si>
  <si>
    <t>Base Date</t>
  </si>
  <si>
    <t>Elegible S.I.</t>
  </si>
  <si>
    <t>Accounting Details (For Office Use)</t>
  </si>
  <si>
    <r>
      <t xml:space="preserve">ONLY </t>
    </r>
    <r>
      <rPr>
        <b/>
        <sz val="10"/>
        <color indexed="17"/>
        <rFont val="Arial Unicode MS"/>
        <family val="2"/>
      </rPr>
      <t xml:space="preserve">GREEN </t>
    </r>
    <r>
      <rPr>
        <b/>
        <sz val="10"/>
        <color indexed="10"/>
        <rFont val="Arial Unicode MS"/>
        <family val="2"/>
      </rPr>
      <t>COLOURED CELLS TO BE FILLED</t>
    </r>
  </si>
  <si>
    <t>SELF</t>
  </si>
  <si>
    <t>Self / Primary Insured</t>
  </si>
  <si>
    <t xml:space="preserve"> </t>
  </si>
  <si>
    <t>Hundred</t>
  </si>
  <si>
    <t>One</t>
  </si>
  <si>
    <t>Thousand</t>
  </si>
  <si>
    <t>Tens</t>
  </si>
  <si>
    <t>Two</t>
  </si>
  <si>
    <t>Lac</t>
  </si>
  <si>
    <t>Three</t>
  </si>
  <si>
    <t>Crore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</si>
  <si>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</si>
  <si>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</si>
  <si>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</si>
  <si>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</si>
  <si>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</si>
  <si>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</si>
  <si>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</si>
  <si>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</si>
  <si>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</si>
  <si>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Thirteen</t>
  </si>
  <si>
    <t>Fourteen</t>
  </si>
  <si>
    <t>Fifteen</t>
  </si>
  <si>
    <t>Sixteen</t>
  </si>
  <si>
    <t>Seventeen</t>
  </si>
  <si>
    <t>Eighteen</t>
  </si>
  <si>
    <t>Nineteen</t>
  </si>
  <si>
    <t>Twenty</t>
  </si>
  <si>
    <t>Twenty one</t>
  </si>
  <si>
    <t>Twenty two</t>
  </si>
  <si>
    <t>Twenty three</t>
  </si>
  <si>
    <t>Twenty four</t>
  </si>
  <si>
    <t>Twenty five</t>
  </si>
  <si>
    <t>Twenty six</t>
  </si>
  <si>
    <t>Twenty seven</t>
  </si>
  <si>
    <t>Twenty eight</t>
  </si>
  <si>
    <t>Twenty nine</t>
  </si>
  <si>
    <t>Thirty</t>
  </si>
  <si>
    <t>Thirty one</t>
  </si>
  <si>
    <t>Thirty two</t>
  </si>
  <si>
    <t>Thirty three</t>
  </si>
  <si>
    <t>Thirty four</t>
  </si>
  <si>
    <t>Thirty five</t>
  </si>
  <si>
    <t>Thirty six</t>
  </si>
  <si>
    <t>Thirty seven</t>
  </si>
  <si>
    <t>Thirty eight</t>
  </si>
  <si>
    <t>Thirty nine</t>
  </si>
  <si>
    <t>Forty</t>
  </si>
  <si>
    <t>Forty one</t>
  </si>
  <si>
    <t>Forty two</t>
  </si>
  <si>
    <t>Forty three</t>
  </si>
  <si>
    <t>Forty four</t>
  </si>
  <si>
    <t>Forty five</t>
  </si>
  <si>
    <t>Forty six</t>
  </si>
  <si>
    <t>Forty seven</t>
  </si>
  <si>
    <t>Forty eight</t>
  </si>
  <si>
    <t>Forty nine</t>
  </si>
  <si>
    <t>Fifty</t>
  </si>
  <si>
    <t>Fifty one</t>
  </si>
  <si>
    <t>Fifty two</t>
  </si>
  <si>
    <t>Fifty three</t>
  </si>
  <si>
    <t>Fifty four</t>
  </si>
  <si>
    <t>Fifty five</t>
  </si>
  <si>
    <t>Fifty six</t>
  </si>
  <si>
    <t>Fifty seven</t>
  </si>
  <si>
    <t>Fifty eight</t>
  </si>
  <si>
    <t>Fifty nine</t>
  </si>
  <si>
    <t>Sixty</t>
  </si>
  <si>
    <t>Sixty one</t>
  </si>
  <si>
    <t>Sixty two</t>
  </si>
  <si>
    <t>Sixty three</t>
  </si>
  <si>
    <t>Sixty four</t>
  </si>
  <si>
    <t>Sixty five</t>
  </si>
  <si>
    <t>Sixty six</t>
  </si>
  <si>
    <t>Sixty seven</t>
  </si>
  <si>
    <t>Sixty eight</t>
  </si>
  <si>
    <t>Sixty nine</t>
  </si>
  <si>
    <t>Seventy</t>
  </si>
  <si>
    <t>Seventy one</t>
  </si>
  <si>
    <t>Seventy two</t>
  </si>
  <si>
    <t>Seventy three</t>
  </si>
  <si>
    <t>Seventy four</t>
  </si>
  <si>
    <t>Seventy five</t>
  </si>
  <si>
    <t>Seventy six</t>
  </si>
  <si>
    <t>Seventy seven</t>
  </si>
  <si>
    <t>Seventy eight</t>
  </si>
  <si>
    <t>Seventy nine</t>
  </si>
  <si>
    <t>Eighty</t>
  </si>
  <si>
    <t>Eighty one</t>
  </si>
  <si>
    <t>Eighty two</t>
  </si>
  <si>
    <t>Eighty three</t>
  </si>
  <si>
    <t>Eighty four</t>
  </si>
  <si>
    <t>Eighty five</t>
  </si>
  <si>
    <t>Eighty six</t>
  </si>
  <si>
    <t>Eighty seven</t>
  </si>
  <si>
    <t>Eighty eight</t>
  </si>
  <si>
    <t>Eighty nine</t>
  </si>
  <si>
    <r>
      <rPr>
        <sz val="10"/>
        <rFont val="Arial"/>
        <family val="2"/>
      </rPr>
      <t>Ninty</t>
    </r>
  </si>
  <si>
    <t>Ninty one</t>
  </si>
  <si>
    <t>Ninty two</t>
  </si>
  <si>
    <t>Ninty three</t>
  </si>
  <si>
    <t>Ninty four</t>
  </si>
  <si>
    <t>Ninty five</t>
  </si>
  <si>
    <t>Ninty six</t>
  </si>
  <si>
    <t>Ninty seven</t>
  </si>
  <si>
    <t>Ninty eight</t>
  </si>
  <si>
    <t>Ninty nine</t>
  </si>
  <si>
    <r>
      <rPr>
        <b/>
        <i/>
        <sz val="10"/>
        <color rgb="FFFF0000"/>
        <rFont val="Times New Roman"/>
        <family val="1"/>
      </rPr>
      <t>Disclaimer:</t>
    </r>
    <r>
      <rPr>
        <i/>
        <sz val="10"/>
        <color rgb="FFFF0000"/>
        <rFont val="Times New Roman"/>
        <family val="1"/>
      </rPr>
      <t xml:space="preserve"> This calculator is a voluntary effort and not be treated as official. For final calculations please refer to official circular and instructions from concerned department of Head Office, Mumbai. </t>
    </r>
  </si>
  <si>
    <t>1000000</t>
  </si>
  <si>
    <t>1200000</t>
  </si>
  <si>
    <t>1500000</t>
  </si>
  <si>
    <r>
      <t xml:space="preserve">Employee Premium + GST 
</t>
    </r>
    <r>
      <rPr>
        <sz val="10"/>
        <color rgb="FFFF0000"/>
        <rFont val="Arial Narrow"/>
        <family val="2"/>
      </rPr>
      <t>(Db A/c Code 9100)</t>
    </r>
  </si>
  <si>
    <r>
      <t xml:space="preserve">Co. Contribution Premium 
</t>
    </r>
    <r>
      <rPr>
        <sz val="10"/>
        <color indexed="10"/>
        <rFont val="Arial Narrow"/>
        <family val="2"/>
      </rPr>
      <t>(Db A/c Code 2200)</t>
    </r>
  </si>
  <si>
    <r>
      <t xml:space="preserve">GST on Co. Contribution 
</t>
    </r>
    <r>
      <rPr>
        <sz val="10"/>
        <color indexed="10"/>
        <rFont val="Arial Narrow"/>
        <family val="2"/>
      </rPr>
      <t>(Db A/c Code 3026)</t>
    </r>
  </si>
  <si>
    <r>
      <t xml:space="preserve">Total
</t>
    </r>
    <r>
      <rPr>
        <sz val="10"/>
        <color indexed="10"/>
        <rFont val="Arial Narrow"/>
        <family val="2"/>
      </rPr>
      <t>(Cr A/c Code 5433)</t>
    </r>
  </si>
  <si>
    <t>Months upto 31/03/2021</t>
  </si>
  <si>
    <t>Collection No &amp; Date</t>
  </si>
  <si>
    <r>
      <t xml:space="preserve">Annual Premium for </t>
    </r>
    <r>
      <rPr>
        <b/>
        <sz val="10"/>
        <color indexed="10"/>
        <rFont val="Arial Unicode MS"/>
        <family val="2"/>
      </rPr>
      <t>2020-21</t>
    </r>
  </si>
  <si>
    <r>
      <t xml:space="preserve">GMC - STAFF (RETIRED / RETIREE EMPLOYEES) MEDICLAIM PREMIUM CALCULATOR </t>
    </r>
    <r>
      <rPr>
        <b/>
        <sz val="10"/>
        <color indexed="10"/>
        <rFont val="Arial Unicode MS"/>
        <family val="2"/>
      </rPr>
      <t>2020-21</t>
    </r>
  </si>
  <si>
    <t>800000</t>
  </si>
  <si>
    <t>© Mehul @ 9924210921</t>
  </si>
  <si>
    <t>Family Member (Dependent)</t>
  </si>
  <si>
    <t>Family Member (Independent)</t>
  </si>
  <si>
    <t>Retired</t>
  </si>
  <si>
    <t>Version: 20200319.03 @ Surat</t>
  </si>
</sst>
</file>

<file path=xl/styles.xml><?xml version="1.0" encoding="utf-8"?>
<styleSheet xmlns="http://schemas.openxmlformats.org/spreadsheetml/2006/main">
  <numFmts count="3">
    <numFmt numFmtId="164" formatCode="&quot;₹&quot;\ #,##0"/>
    <numFmt numFmtId="165" formatCode="[$-F800]dddd\,\ mmmm\ dd\,\ yyyy"/>
    <numFmt numFmtId="166" formatCode="dd\-mmm\-yyyy"/>
  </numFmts>
  <fonts count="66">
    <font>
      <sz val="10"/>
      <color indexed="8"/>
      <name val="Calibri"/>
      <family val="2"/>
      <charset val="134"/>
    </font>
    <font>
      <sz val="10"/>
      <color indexed="52"/>
      <name val="Calibri"/>
      <family val="2"/>
      <charset val="134"/>
    </font>
    <font>
      <sz val="10"/>
      <color indexed="9"/>
      <name val="Calibri"/>
      <family val="2"/>
      <charset val="134"/>
    </font>
    <font>
      <sz val="10"/>
      <color indexed="17"/>
      <name val="Calibri"/>
      <family val="2"/>
      <charset val="134"/>
    </font>
    <font>
      <sz val="10"/>
      <color indexed="62"/>
      <name val="Calibri"/>
      <family val="2"/>
      <charset val="134"/>
    </font>
    <font>
      <i/>
      <sz val="10"/>
      <color indexed="23"/>
      <name val="Calibri"/>
      <family val="2"/>
      <charset val="134"/>
    </font>
    <font>
      <b/>
      <sz val="10"/>
      <color indexed="52"/>
      <name val="Calibri"/>
      <family val="2"/>
      <charset val="134"/>
    </font>
    <font>
      <b/>
      <sz val="10"/>
      <color indexed="8"/>
      <name val="Calibri"/>
      <family val="2"/>
      <charset val="134"/>
    </font>
    <font>
      <b/>
      <sz val="11"/>
      <color indexed="56"/>
      <name val="Calibri"/>
      <family val="2"/>
      <charset val="134"/>
    </font>
    <font>
      <b/>
      <sz val="13"/>
      <color indexed="56"/>
      <name val="Calibri"/>
      <family val="2"/>
      <charset val="134"/>
    </font>
    <font>
      <sz val="10"/>
      <color indexed="20"/>
      <name val="Calibri"/>
      <family val="2"/>
      <charset val="134"/>
    </font>
    <font>
      <sz val="10"/>
      <color indexed="10"/>
      <name val="Calibri"/>
      <family val="2"/>
      <charset val="134"/>
    </font>
    <font>
      <b/>
      <sz val="15"/>
      <color indexed="56"/>
      <name val="Calibri"/>
      <family val="2"/>
      <charset val="134"/>
    </font>
    <font>
      <b/>
      <sz val="10"/>
      <color indexed="9"/>
      <name val="Calibri"/>
      <family val="2"/>
      <charset val="134"/>
    </font>
    <font>
      <sz val="10"/>
      <color indexed="60"/>
      <name val="Calibri"/>
      <family val="2"/>
      <charset val="134"/>
    </font>
    <font>
      <b/>
      <sz val="10"/>
      <color indexed="63"/>
      <name val="Calibri"/>
      <family val="2"/>
      <charset val="134"/>
    </font>
    <font>
      <b/>
      <sz val="18"/>
      <color indexed="56"/>
      <name val="Cambria"/>
      <family val="2"/>
      <charset val="134"/>
    </font>
    <font>
      <b/>
      <sz val="12"/>
      <color indexed="8"/>
      <name val="Calibri"/>
      <family val="2"/>
      <charset val="134"/>
    </font>
    <font>
      <sz val="12"/>
      <color indexed="8"/>
      <name val="Calibri"/>
      <family val="2"/>
      <charset val="134"/>
    </font>
    <font>
      <sz val="8"/>
      <color indexed="8"/>
      <name val="Arial Narrow"/>
      <family val="2"/>
      <charset val="134"/>
    </font>
    <font>
      <sz val="8"/>
      <color indexed="8"/>
      <name val="Arial Bold"/>
      <charset val="134"/>
    </font>
    <font>
      <sz val="8"/>
      <color indexed="8"/>
      <name val="Arial"/>
      <family val="2"/>
      <charset val="134"/>
    </font>
    <font>
      <sz val="9"/>
      <color indexed="8"/>
      <name val="Arial Narrow"/>
      <family val="2"/>
      <charset val="134"/>
    </font>
    <font>
      <sz val="10"/>
      <color indexed="8"/>
      <name val="Calibri"/>
      <family val="2"/>
      <charset val="134"/>
    </font>
    <font>
      <sz val="9"/>
      <color indexed="8"/>
      <name val="Arial Unicode MS"/>
      <family val="2"/>
    </font>
    <font>
      <b/>
      <sz val="10"/>
      <color indexed="10"/>
      <name val="Arial Unicode MS"/>
      <family val="2"/>
    </font>
    <font>
      <b/>
      <sz val="10"/>
      <color indexed="17"/>
      <name val="Arial Unicode MS"/>
      <family val="2"/>
    </font>
    <font>
      <b/>
      <sz val="10"/>
      <color indexed="8"/>
      <name val="Arial Unicode MS"/>
      <family val="2"/>
    </font>
    <font>
      <b/>
      <sz val="11"/>
      <color indexed="8"/>
      <name val="Arial Unicode MS"/>
      <family val="2"/>
    </font>
    <font>
      <b/>
      <sz val="10"/>
      <color indexed="56"/>
      <name val="Arial Unicode MS"/>
      <family val="2"/>
    </font>
    <font>
      <sz val="10"/>
      <color indexed="8"/>
      <name val="Arial Unicode MS"/>
      <family val="2"/>
    </font>
    <font>
      <sz val="10"/>
      <color indexed="22"/>
      <name val="Arial Unicode MS"/>
      <family val="2"/>
    </font>
    <font>
      <b/>
      <sz val="10"/>
      <color indexed="22"/>
      <name val="Arial Unicode MS"/>
      <family val="2"/>
    </font>
    <font>
      <b/>
      <sz val="9"/>
      <color indexed="8"/>
      <name val="Arial Unicode MS"/>
      <family val="2"/>
    </font>
    <font>
      <sz val="10"/>
      <color indexed="10"/>
      <name val="Arial Unicode MS"/>
      <family val="2"/>
    </font>
    <font>
      <b/>
      <sz val="10"/>
      <name val="Arial Unicode MS"/>
      <family val="2"/>
    </font>
    <font>
      <sz val="10"/>
      <color theme="0" tint="-0.34998626667073579"/>
      <name val="Arial Unicode MS"/>
      <family val="2"/>
    </font>
    <font>
      <b/>
      <i/>
      <sz val="10"/>
      <color indexed="10"/>
      <name val="Arial Unicode MS"/>
      <family val="2"/>
    </font>
    <font>
      <b/>
      <sz val="26"/>
      <color indexed="8"/>
      <name val="Arial Unicode MS"/>
      <family val="2"/>
    </font>
    <font>
      <b/>
      <i/>
      <sz val="10"/>
      <color indexed="8"/>
      <name val="Arial Unicode MS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9"/>
      <color indexed="10"/>
      <name val="Arial Unicode MS"/>
      <family val="2"/>
    </font>
    <font>
      <sz val="10"/>
      <name val="Arial"/>
      <family val="2"/>
    </font>
    <font>
      <sz val="11"/>
      <name val="Franklin Gothic Book"/>
      <family val="2"/>
    </font>
    <font>
      <b/>
      <sz val="12"/>
      <color indexed="8"/>
      <name val="Arial Unicode MS"/>
      <family val="2"/>
    </font>
    <font>
      <b/>
      <sz val="12"/>
      <color indexed="10"/>
      <name val="Arial Unicode MS"/>
      <family val="2"/>
    </font>
    <font>
      <i/>
      <sz val="10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sz val="18"/>
      <color indexed="8"/>
      <name val="Arial Unicode MS"/>
      <family val="2"/>
    </font>
    <font>
      <b/>
      <sz val="10"/>
      <color rgb="FFC00000"/>
      <name val="Arial Unicode MS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sz val="9"/>
      <color indexed="8"/>
      <name val="Arial Narrow"/>
      <family val="2"/>
    </font>
    <font>
      <i/>
      <sz val="10"/>
      <color indexed="8"/>
      <name val="Arial Unicode MS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11"/>
      <name val="Arial Unicode MS"/>
      <family val="2"/>
    </font>
    <font>
      <sz val="11"/>
      <color indexed="8"/>
      <name val="Arial Unicode MS"/>
      <family val="2"/>
    </font>
    <font>
      <sz val="12"/>
      <color indexed="8"/>
      <name val="Arial Unicode MS"/>
      <family val="2"/>
    </font>
    <font>
      <b/>
      <sz val="11"/>
      <color indexed="10"/>
      <name val="Arial Narrow"/>
      <family val="2"/>
    </font>
    <font>
      <sz val="11"/>
      <color indexed="8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34"/>
      </patternFill>
    </fill>
    <fill>
      <patternFill patternType="solid">
        <fgColor indexed="9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57"/>
        <bgColor indexed="21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44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30"/>
        <bgColor indexed="21"/>
      </patternFill>
    </fill>
    <fill>
      <patternFill patternType="solid">
        <fgColor indexed="45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46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52"/>
        <bgColor indexed="51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10"/>
        <bgColor indexed="60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double">
        <color indexed="64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double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double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5"/>
      </left>
      <right style="double">
        <color indexed="23"/>
      </right>
      <top style="thin">
        <color indexed="55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23"/>
      </right>
      <top style="thin">
        <color indexed="64"/>
      </top>
      <bottom style="thin">
        <color indexed="64"/>
      </bottom>
      <diagonal/>
    </border>
    <border>
      <left/>
      <right style="double">
        <color indexed="23"/>
      </right>
      <top style="thin">
        <color indexed="55"/>
      </top>
      <bottom/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double">
        <color indexed="64"/>
      </right>
      <top style="thin">
        <color indexed="23"/>
      </top>
      <bottom/>
      <diagonal/>
    </border>
    <border>
      <left style="double">
        <color indexed="23"/>
      </left>
      <right/>
      <top/>
      <bottom/>
      <diagonal/>
    </border>
    <border>
      <left style="double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double">
        <color indexed="64"/>
      </right>
      <top/>
      <bottom style="thin">
        <color indexed="23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44"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6" fillId="20" borderId="26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20" borderId="42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31" borderId="41" applyNumberFormat="0" applyAlignment="0" applyProtection="0">
      <alignment vertical="center"/>
    </xf>
    <xf numFmtId="0" fontId="9" fillId="0" borderId="38" applyNumberFormat="0" applyFill="0" applyAlignment="0" applyProtection="0">
      <alignment vertical="center"/>
    </xf>
    <xf numFmtId="0" fontId="13" fillId="28" borderId="40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39" applyNumberFormat="0" applyFill="0" applyAlignment="0" applyProtection="0">
      <alignment vertical="center"/>
    </xf>
    <xf numFmtId="0" fontId="8" fillId="0" borderId="3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7" borderId="26" applyNumberFormat="0" applyAlignment="0" applyProtection="0">
      <alignment vertical="center"/>
    </xf>
    <xf numFmtId="0" fontId="1" fillId="0" borderId="35" applyNumberFormat="0" applyFill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7" fillId="0" borderId="36" applyNumberFormat="0" applyFill="0" applyAlignment="0" applyProtection="0">
      <alignment vertical="center"/>
    </xf>
    <xf numFmtId="0" fontId="43" fillId="0" borderId="0"/>
    <xf numFmtId="0" fontId="43" fillId="0" borderId="0"/>
  </cellStyleXfs>
  <cellXfs count="260">
    <xf numFmtId="0" fontId="0" fillId="0" borderId="0" xfId="0" applyAlignment="1"/>
    <xf numFmtId="0" fontId="17" fillId="0" borderId="0" xfId="0" applyFont="1" applyAlignment="1"/>
    <xf numFmtId="17" fontId="18" fillId="0" borderId="0" xfId="0" applyNumberFormat="1" applyFont="1" applyAlignment="1"/>
    <xf numFmtId="2" fontId="18" fillId="0" borderId="0" xfId="0" applyNumberFormat="1" applyFont="1" applyAlignment="1"/>
    <xf numFmtId="0" fontId="18" fillId="0" borderId="0" xfId="0" applyFont="1" applyAlignment="1"/>
    <xf numFmtId="49" fontId="19" fillId="0" borderId="0" xfId="0" applyNumberFormat="1" applyFont="1" applyAlignment="1"/>
    <xf numFmtId="1" fontId="19" fillId="0" borderId="0" xfId="0" applyNumberFormat="1" applyFont="1" applyAlignment="1"/>
    <xf numFmtId="0" fontId="19" fillId="0" borderId="0" xfId="0" applyFont="1" applyAlignment="1"/>
    <xf numFmtId="49" fontId="20" fillId="0" borderId="0" xfId="0" applyNumberFormat="1" applyFont="1" applyAlignment="1"/>
    <xf numFmtId="1" fontId="21" fillId="0" borderId="0" xfId="0" applyNumberFormat="1" applyFont="1" applyAlignment="1"/>
    <xf numFmtId="49" fontId="22" fillId="0" borderId="0" xfId="0" applyNumberFormat="1" applyFont="1" applyAlignment="1"/>
    <xf numFmtId="1" fontId="22" fillId="0" borderId="0" xfId="0" applyNumberFormat="1" applyFont="1" applyAlignment="1"/>
    <xf numFmtId="0" fontId="22" fillId="0" borderId="0" xfId="0" applyFont="1" applyAlignment="1"/>
    <xf numFmtId="0" fontId="27" fillId="0" borderId="0" xfId="0" applyFont="1" applyAlignment="1" applyProtection="1">
      <protection hidden="1"/>
    </xf>
    <xf numFmtId="0" fontId="27" fillId="0" borderId="0" xfId="0" applyFont="1" applyAlignment="1" applyProtection="1"/>
    <xf numFmtId="0" fontId="27" fillId="4" borderId="4" xfId="0" applyFont="1" applyFill="1" applyBorder="1" applyAlignment="1" applyProtection="1">
      <alignment vertical="center"/>
    </xf>
    <xf numFmtId="0" fontId="27" fillId="4" borderId="5" xfId="0" applyFont="1" applyFill="1" applyBorder="1" applyAlignment="1" applyProtection="1">
      <alignment horizontal="right" vertical="center"/>
    </xf>
    <xf numFmtId="0" fontId="30" fillId="5" borderId="20" xfId="0" applyFont="1" applyFill="1" applyBorder="1" applyAlignment="1" applyProtection="1">
      <alignment horizontal="center" vertical="center"/>
      <protection locked="0"/>
    </xf>
    <xf numFmtId="14" fontId="27" fillId="0" borderId="0" xfId="0" applyNumberFormat="1" applyFont="1" applyAlignment="1" applyProtection="1">
      <protection hidden="1"/>
    </xf>
    <xf numFmtId="0" fontId="32" fillId="0" borderId="0" xfId="0" applyFont="1" applyAlignment="1" applyProtection="1">
      <protection hidden="1"/>
    </xf>
    <xf numFmtId="14" fontId="32" fillId="0" borderId="0" xfId="0" applyNumberFormat="1" applyFont="1" applyAlignment="1" applyProtection="1">
      <protection hidden="1"/>
    </xf>
    <xf numFmtId="0" fontId="32" fillId="0" borderId="0" xfId="0" applyFont="1" applyAlignment="1" applyProtection="1"/>
    <xf numFmtId="0" fontId="27" fillId="0" borderId="8" xfId="0" applyFont="1" applyBorder="1" applyAlignment="1" applyProtection="1">
      <alignment vertical="center" wrapText="1"/>
    </xf>
    <xf numFmtId="0" fontId="27" fillId="0" borderId="9" xfId="0" applyNumberFormat="1" applyFont="1" applyBorder="1" applyAlignment="1" applyProtection="1">
      <alignment vertical="center"/>
    </xf>
    <xf numFmtId="0" fontId="27" fillId="6" borderId="20" xfId="0" applyFont="1" applyFill="1" applyBorder="1" applyAlignment="1" applyProtection="1">
      <alignment vertical="center"/>
    </xf>
    <xf numFmtId="0" fontId="27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protection hidden="1"/>
    </xf>
    <xf numFmtId="49" fontId="30" fillId="0" borderId="0" xfId="0" applyNumberFormat="1" applyFont="1" applyAlignment="1" applyProtection="1">
      <protection hidden="1"/>
    </xf>
    <xf numFmtId="14" fontId="27" fillId="0" borderId="0" xfId="0" applyNumberFormat="1" applyFont="1" applyAlignment="1" applyProtection="1">
      <alignment horizontal="center"/>
      <protection hidden="1"/>
    </xf>
    <xf numFmtId="0" fontId="30" fillId="0" borderId="0" xfId="0" applyNumberFormat="1" applyFont="1" applyAlignment="1" applyProtection="1">
      <protection hidden="1"/>
    </xf>
    <xf numFmtId="1" fontId="30" fillId="0" borderId="0" xfId="0" applyNumberFormat="1" applyFont="1" applyAlignment="1" applyProtection="1">
      <protection hidden="1"/>
    </xf>
    <xf numFmtId="0" fontId="27" fillId="0" borderId="0" xfId="0" applyFont="1" applyAlignment="1" applyProtection="1">
      <alignment horizontal="left"/>
      <protection hidden="1"/>
    </xf>
    <xf numFmtId="0" fontId="27" fillId="12" borderId="0" xfId="0" applyFont="1" applyFill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center" vertical="center" wrapText="1"/>
    </xf>
    <xf numFmtId="0" fontId="30" fillId="5" borderId="4" xfId="0" applyFont="1" applyFill="1" applyBorder="1" applyAlignment="1" applyProtection="1">
      <alignment horizontal="left" vertical="center" wrapText="1"/>
      <protection locked="0"/>
    </xf>
    <xf numFmtId="0" fontId="27" fillId="0" borderId="0" xfId="0" applyNumberFormat="1" applyFont="1" applyAlignment="1" applyProtection="1">
      <alignment horizontal="center"/>
      <protection hidden="1"/>
    </xf>
    <xf numFmtId="1" fontId="27" fillId="0" borderId="0" xfId="0" applyNumberFormat="1" applyFont="1" applyAlignment="1" applyProtection="1">
      <alignment horizontal="center"/>
      <protection hidden="1"/>
    </xf>
    <xf numFmtId="49" fontId="25" fillId="11" borderId="0" xfId="0" applyNumberFormat="1" applyFont="1" applyFill="1" applyAlignment="1" applyProtection="1">
      <alignment horizontal="center"/>
      <protection hidden="1"/>
    </xf>
    <xf numFmtId="49" fontId="27" fillId="12" borderId="0" xfId="0" applyNumberFormat="1" applyFont="1" applyFill="1" applyAlignment="1" applyProtection="1">
      <protection hidden="1"/>
    </xf>
    <xf numFmtId="164" fontId="27" fillId="7" borderId="9" xfId="0" applyNumberFormat="1" applyFont="1" applyFill="1" applyBorder="1" applyAlignment="1" applyProtection="1">
      <alignment vertical="center"/>
    </xf>
    <xf numFmtId="1" fontId="27" fillId="0" borderId="9" xfId="0" applyNumberFormat="1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protection hidden="1"/>
    </xf>
    <xf numFmtId="0" fontId="30" fillId="0" borderId="0" xfId="0" applyFont="1" applyAlignment="1" applyProtection="1"/>
    <xf numFmtId="0" fontId="39" fillId="0" borderId="0" xfId="0" applyFont="1" applyBorder="1" applyAlignment="1" applyProtection="1">
      <alignment vertical="center" textRotation="180"/>
    </xf>
    <xf numFmtId="49" fontId="27" fillId="0" borderId="0" xfId="0" applyNumberFormat="1" applyFont="1" applyAlignment="1" applyProtection="1">
      <alignment horizontal="center"/>
      <protection hidden="1"/>
    </xf>
    <xf numFmtId="0" fontId="27" fillId="0" borderId="0" xfId="0" applyFont="1" applyBorder="1" applyAlignment="1" applyProtection="1"/>
    <xf numFmtId="0" fontId="27" fillId="0" borderId="0" xfId="0" applyFont="1" applyBorder="1" applyAlignment="1" applyProtection="1">
      <alignment horizontal="center"/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49" fontId="27" fillId="0" borderId="0" xfId="0" applyNumberFormat="1" applyFont="1" applyBorder="1" applyAlignment="1" applyProtection="1">
      <alignment horizontal="center"/>
      <protection hidden="1"/>
    </xf>
    <xf numFmtId="1" fontId="27" fillId="0" borderId="0" xfId="0" applyNumberFormat="1" applyFont="1" applyBorder="1" applyAlignment="1" applyProtection="1">
      <alignment horizontal="center"/>
      <protection hidden="1"/>
    </xf>
    <xf numFmtId="49" fontId="25" fillId="0" borderId="0" xfId="0" applyNumberFormat="1" applyFont="1" applyFill="1" applyBorder="1" applyAlignment="1" applyProtection="1">
      <alignment horizontal="left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49" fontId="27" fillId="0" borderId="0" xfId="0" applyNumberFormat="1" applyFont="1" applyAlignment="1" applyProtection="1">
      <protection hidden="1"/>
    </xf>
    <xf numFmtId="0" fontId="24" fillId="0" borderId="5" xfId="0" applyFont="1" applyBorder="1" applyAlignment="1" applyProtection="1">
      <alignment vertical="center"/>
    </xf>
    <xf numFmtId="0" fontId="30" fillId="0" borderId="5" xfId="0" applyFont="1" applyBorder="1" applyAlignment="1" applyProtection="1">
      <alignment vertical="center"/>
    </xf>
    <xf numFmtId="0" fontId="24" fillId="5" borderId="5" xfId="0" applyFont="1" applyFill="1" applyBorder="1" applyAlignment="1" applyProtection="1">
      <alignment horizontal="center" vertical="center"/>
      <protection locked="0"/>
    </xf>
    <xf numFmtId="14" fontId="24" fillId="8" borderId="5" xfId="0" applyNumberFormat="1" applyFont="1" applyFill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horizontal="center" vertical="center"/>
    </xf>
    <xf numFmtId="2" fontId="30" fillId="0" borderId="5" xfId="0" applyNumberFormat="1" applyFont="1" applyBorder="1" applyAlignment="1" applyProtection="1">
      <alignment vertical="center"/>
    </xf>
    <xf numFmtId="2" fontId="30" fillId="0" borderId="20" xfId="0" applyNumberFormat="1" applyFont="1" applyBorder="1" applyAlignment="1" applyProtection="1">
      <alignment vertical="center"/>
    </xf>
    <xf numFmtId="0" fontId="30" fillId="5" borderId="4" xfId="0" applyFont="1" applyFill="1" applyBorder="1" applyAlignment="1" applyProtection="1">
      <alignment horizontal="left" vertical="center"/>
      <protection locked="0"/>
    </xf>
    <xf numFmtId="0" fontId="24" fillId="0" borderId="5" xfId="0" applyFont="1" applyFill="1" applyBorder="1" applyAlignment="1" applyProtection="1">
      <alignment vertical="center"/>
    </xf>
    <xf numFmtId="0" fontId="27" fillId="0" borderId="4" xfId="0" applyFont="1" applyBorder="1" applyAlignment="1" applyProtection="1">
      <alignment vertical="center"/>
    </xf>
    <xf numFmtId="0" fontId="27" fillId="0" borderId="5" xfId="0" applyFont="1" applyBorder="1" applyAlignment="1" applyProtection="1">
      <alignment vertical="center"/>
    </xf>
    <xf numFmtId="0" fontId="27" fillId="0" borderId="5" xfId="0" applyFont="1" applyBorder="1" applyAlignment="1" applyProtection="1">
      <alignment horizontal="right" vertical="center"/>
    </xf>
    <xf numFmtId="2" fontId="27" fillId="0" borderId="5" xfId="0" applyNumberFormat="1" applyFont="1" applyBorder="1" applyAlignment="1" applyProtection="1">
      <alignment vertical="center"/>
    </xf>
    <xf numFmtId="2" fontId="27" fillId="0" borderId="20" xfId="0" applyNumberFormat="1" applyFont="1" applyBorder="1" applyAlignment="1" applyProtection="1">
      <alignment vertical="center"/>
    </xf>
    <xf numFmtId="0" fontId="27" fillId="0" borderId="20" xfId="0" applyFont="1" applyBorder="1" applyAlignment="1" applyProtection="1">
      <alignment vertical="center"/>
    </xf>
    <xf numFmtId="0" fontId="35" fillId="9" borderId="5" xfId="0" applyFont="1" applyFill="1" applyBorder="1" applyAlignment="1" applyProtection="1">
      <alignment horizontal="right" vertical="center"/>
    </xf>
    <xf numFmtId="2" fontId="35" fillId="9" borderId="5" xfId="0" applyNumberFormat="1" applyFont="1" applyFill="1" applyBorder="1" applyAlignment="1" applyProtection="1">
      <alignment vertical="center"/>
    </xf>
    <xf numFmtId="0" fontId="36" fillId="0" borderId="5" xfId="0" applyFont="1" applyBorder="1" applyAlignment="1" applyProtection="1">
      <alignment vertical="center"/>
    </xf>
    <xf numFmtId="2" fontId="35" fillId="9" borderId="20" xfId="0" applyNumberFormat="1" applyFont="1" applyFill="1" applyBorder="1" applyAlignment="1" applyProtection="1">
      <alignment vertical="center"/>
    </xf>
    <xf numFmtId="10" fontId="35" fillId="9" borderId="5" xfId="0" applyNumberFormat="1" applyFont="1" applyFill="1" applyBorder="1" applyAlignment="1" applyProtection="1">
      <alignment vertical="center"/>
    </xf>
    <xf numFmtId="0" fontId="27" fillId="0" borderId="0" xfId="0" applyFont="1" applyAlignment="1" applyProtection="1">
      <alignment wrapText="1"/>
      <protection hidden="1"/>
    </xf>
    <xf numFmtId="14" fontId="40" fillId="0" borderId="0" xfId="0" applyNumberFormat="1" applyFont="1" applyAlignment="1" applyProtection="1">
      <alignment horizontal="center"/>
      <protection hidden="1"/>
    </xf>
    <xf numFmtId="0" fontId="40" fillId="0" borderId="0" xfId="0" applyFont="1" applyAlignment="1" applyProtection="1">
      <alignment horizontal="center"/>
      <protection hidden="1"/>
    </xf>
    <xf numFmtId="0" fontId="40" fillId="12" borderId="0" xfId="0" applyFont="1" applyFill="1" applyAlignment="1" applyProtection="1">
      <alignment horizontal="center"/>
      <protection hidden="1"/>
    </xf>
    <xf numFmtId="0" fontId="40" fillId="12" borderId="0" xfId="0" applyFont="1" applyFill="1" applyAlignment="1" applyProtection="1">
      <alignment horizontal="center" vertical="center" wrapText="1"/>
      <protection hidden="1"/>
    </xf>
    <xf numFmtId="0" fontId="40" fillId="0" borderId="0" xfId="0" applyFont="1" applyAlignment="1" applyProtection="1">
      <protection hidden="1"/>
    </xf>
    <xf numFmtId="49" fontId="40" fillId="12" borderId="0" xfId="0" applyNumberFormat="1" applyFont="1" applyFill="1" applyAlignment="1" applyProtection="1">
      <protection hidden="1"/>
    </xf>
    <xf numFmtId="0" fontId="40" fillId="0" borderId="0" xfId="0" applyFont="1" applyBorder="1" applyAlignment="1" applyProtection="1">
      <alignment horizontal="center"/>
      <protection hidden="1"/>
    </xf>
    <xf numFmtId="0" fontId="40" fillId="0" borderId="0" xfId="0" applyFont="1" applyFill="1" applyBorder="1" applyAlignment="1" applyProtection="1">
      <alignment horizontal="center"/>
      <protection hidden="1"/>
    </xf>
    <xf numFmtId="0" fontId="41" fillId="0" borderId="0" xfId="0" applyFont="1" applyAlignment="1"/>
    <xf numFmtId="0" fontId="27" fillId="4" borderId="5" xfId="0" applyFont="1" applyFill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 wrapText="1"/>
    </xf>
    <xf numFmtId="14" fontId="42" fillId="6" borderId="5" xfId="0" applyNumberFormat="1" applyFont="1" applyFill="1" applyBorder="1" applyAlignment="1" applyProtection="1">
      <alignment horizontal="center" vertical="center"/>
    </xf>
    <xf numFmtId="0" fontId="43" fillId="0" borderId="0" xfId="42" applyFont="1"/>
    <xf numFmtId="2" fontId="43" fillId="0" borderId="0" xfId="42" applyNumberFormat="1" applyFont="1"/>
    <xf numFmtId="0" fontId="43" fillId="0" borderId="0" xfId="42" applyFont="1" applyAlignment="1">
      <alignment horizontal="left"/>
    </xf>
    <xf numFmtId="0" fontId="44" fillId="0" borderId="0" xfId="43" applyFont="1" applyAlignment="1">
      <alignment horizontal="left" vertical="top" indent="2"/>
    </xf>
    <xf numFmtId="0" fontId="45" fillId="7" borderId="9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left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49" fontId="30" fillId="12" borderId="0" xfId="0" applyNumberFormat="1" applyFont="1" applyFill="1" applyAlignment="1" applyProtection="1">
      <protection hidden="1"/>
    </xf>
    <xf numFmtId="0" fontId="30" fillId="12" borderId="0" xfId="0" applyFont="1" applyFill="1" applyAlignment="1" applyProtection="1">
      <alignment horizontal="center" vertical="center" wrapText="1"/>
      <protection hidden="1"/>
    </xf>
    <xf numFmtId="0" fontId="30" fillId="12" borderId="0" xfId="0" applyFont="1" applyFill="1" applyAlignment="1" applyProtection="1">
      <alignment horizontal="center"/>
      <protection hidden="1"/>
    </xf>
    <xf numFmtId="0" fontId="51" fillId="0" borderId="44" xfId="0" applyFont="1" applyBorder="1" applyAlignment="1" applyProtection="1">
      <alignment horizontal="left" vertical="center" wrapText="1"/>
    </xf>
    <xf numFmtId="0" fontId="53" fillId="0" borderId="17" xfId="0" applyFont="1" applyBorder="1" applyAlignment="1" applyProtection="1">
      <alignment horizontal="left" vertical="center" wrapText="1"/>
    </xf>
    <xf numFmtId="49" fontId="53" fillId="0" borderId="0" xfId="0" applyNumberFormat="1" applyFont="1" applyFill="1" applyBorder="1" applyAlignment="1" applyProtection="1">
      <alignment horizontal="left"/>
      <protection hidden="1"/>
    </xf>
    <xf numFmtId="49" fontId="40" fillId="0" borderId="0" xfId="0" applyNumberFormat="1" applyFont="1" applyBorder="1" applyAlignment="1" applyProtection="1">
      <alignment horizontal="center"/>
      <protection hidden="1"/>
    </xf>
    <xf numFmtId="49" fontId="53" fillId="11" borderId="0" xfId="0" applyNumberFormat="1" applyFont="1" applyFill="1" applyAlignment="1" applyProtection="1">
      <alignment horizontal="center"/>
      <protection hidden="1"/>
    </xf>
    <xf numFmtId="49" fontId="40" fillId="0" borderId="0" xfId="0" applyNumberFormat="1" applyFont="1" applyAlignment="1" applyProtection="1">
      <alignment horizontal="center"/>
      <protection hidden="1"/>
    </xf>
    <xf numFmtId="1" fontId="55" fillId="0" borderId="0" xfId="0" applyNumberFormat="1" applyFont="1" applyAlignment="1" applyProtection="1">
      <protection hidden="1"/>
    </xf>
    <xf numFmtId="1" fontId="40" fillId="0" borderId="0" xfId="0" applyNumberFormat="1" applyFont="1" applyBorder="1" applyAlignment="1" applyProtection="1">
      <alignment horizontal="center"/>
      <protection hidden="1"/>
    </xf>
    <xf numFmtId="0" fontId="40" fillId="0" borderId="0" xfId="0" applyNumberFormat="1" applyFont="1" applyAlignment="1" applyProtection="1">
      <alignment horizontal="center"/>
      <protection hidden="1"/>
    </xf>
    <xf numFmtId="1" fontId="40" fillId="0" borderId="0" xfId="0" applyNumberFormat="1" applyFont="1" applyAlignment="1" applyProtection="1">
      <alignment horizontal="center"/>
      <protection hidden="1"/>
    </xf>
    <xf numFmtId="49" fontId="55" fillId="0" borderId="0" xfId="0" applyNumberFormat="1" applyFont="1" applyAlignment="1" applyProtection="1">
      <protection hidden="1"/>
    </xf>
    <xf numFmtId="0" fontId="55" fillId="0" borderId="0" xfId="0" applyNumberFormat="1" applyFont="1" applyAlignment="1" applyProtection="1">
      <protection hidden="1"/>
    </xf>
    <xf numFmtId="0" fontId="55" fillId="0" borderId="0" xfId="0" applyFont="1" applyAlignment="1" applyProtection="1">
      <protection hidden="1"/>
    </xf>
    <xf numFmtId="1" fontId="41" fillId="0" borderId="0" xfId="0" applyNumberFormat="1" applyFont="1" applyAlignment="1" applyProtection="1">
      <protection hidden="1"/>
    </xf>
    <xf numFmtId="0" fontId="41" fillId="0" borderId="0" xfId="0" applyNumberFormat="1" applyFont="1" applyAlignment="1" applyProtection="1">
      <protection hidden="1"/>
    </xf>
    <xf numFmtId="49" fontId="41" fillId="0" borderId="0" xfId="0" applyNumberFormat="1" applyFont="1" applyAlignment="1" applyProtection="1">
      <protection hidden="1"/>
    </xf>
    <xf numFmtId="0" fontId="41" fillId="0" borderId="0" xfId="0" applyFont="1" applyAlignment="1" applyProtection="1">
      <protection hidden="1"/>
    </xf>
    <xf numFmtId="0" fontId="53" fillId="0" borderId="0" xfId="0" applyFont="1" applyFill="1" applyBorder="1" applyAlignment="1" applyProtection="1">
      <alignment horizontal="center"/>
      <protection hidden="1"/>
    </xf>
    <xf numFmtId="0" fontId="40" fillId="0" borderId="0" xfId="0" applyFont="1" applyAlignment="1" applyProtection="1">
      <alignment horizontal="center"/>
      <protection hidden="1"/>
    </xf>
    <xf numFmtId="0" fontId="40" fillId="0" borderId="0" xfId="0" applyFont="1" applyAlignment="1" applyProtection="1">
      <protection hidden="1"/>
    </xf>
    <xf numFmtId="0" fontId="40" fillId="0" borderId="0" xfId="0" applyFont="1" applyFill="1" applyBorder="1" applyAlignment="1" applyProtection="1">
      <alignment horizontal="center"/>
      <protection hidden="1"/>
    </xf>
    <xf numFmtId="0" fontId="41" fillId="0" borderId="0" xfId="0" applyFont="1" applyAlignment="1"/>
    <xf numFmtId="49" fontId="25" fillId="35" borderId="0" xfId="0" applyNumberFormat="1" applyFont="1" applyFill="1" applyAlignment="1" applyProtection="1">
      <alignment horizontal="left"/>
      <protection hidden="1"/>
    </xf>
    <xf numFmtId="0" fontId="25" fillId="35" borderId="0" xfId="0" applyFont="1" applyFill="1" applyAlignment="1" applyProtection="1">
      <alignment horizontal="center"/>
      <protection hidden="1"/>
    </xf>
    <xf numFmtId="0" fontId="27" fillId="36" borderId="0" xfId="0" applyFont="1" applyFill="1" applyAlignment="1" applyProtection="1">
      <alignment horizontal="center"/>
      <protection hidden="1"/>
    </xf>
    <xf numFmtId="0" fontId="56" fillId="0" borderId="0" xfId="0" applyFont="1" applyAlignment="1" applyProtection="1"/>
    <xf numFmtId="49" fontId="53" fillId="35" borderId="0" xfId="0" applyNumberFormat="1" applyFont="1" applyFill="1" applyAlignment="1" applyProtection="1">
      <alignment horizontal="left"/>
      <protection hidden="1"/>
    </xf>
    <xf numFmtId="0" fontId="53" fillId="35" borderId="0" xfId="0" applyFont="1" applyFill="1" applyAlignment="1" applyProtection="1">
      <alignment horizontal="center"/>
      <protection hidden="1"/>
    </xf>
    <xf numFmtId="0" fontId="40" fillId="36" borderId="0" xfId="0" applyFont="1" applyFill="1" applyAlignment="1" applyProtection="1">
      <alignment horizontal="center"/>
      <protection hidden="1"/>
    </xf>
    <xf numFmtId="0" fontId="59" fillId="0" borderId="5" xfId="0" applyFont="1" applyBorder="1" applyAlignment="1" applyProtection="1">
      <alignment horizontal="center" vertical="center" wrapText="1"/>
    </xf>
    <xf numFmtId="0" fontId="60" fillId="0" borderId="5" xfId="0" applyFont="1" applyBorder="1" applyAlignment="1" applyProtection="1">
      <alignment horizontal="center" vertical="center" wrapText="1"/>
    </xf>
    <xf numFmtId="0" fontId="60" fillId="0" borderId="20" xfId="0" applyFont="1" applyBorder="1" applyAlignment="1" applyProtection="1">
      <alignment horizontal="center" vertical="center" wrapText="1"/>
    </xf>
    <xf numFmtId="0" fontId="61" fillId="5" borderId="5" xfId="0" applyFont="1" applyFill="1" applyBorder="1" applyAlignment="1" applyProtection="1">
      <alignment horizontal="center" vertical="center"/>
      <protection locked="0"/>
    </xf>
    <xf numFmtId="0" fontId="57" fillId="0" borderId="4" xfId="0" applyFont="1" applyBorder="1" applyAlignment="1" applyProtection="1">
      <alignment vertical="center" wrapText="1"/>
    </xf>
    <xf numFmtId="0" fontId="57" fillId="0" borderId="5" xfId="0" applyFont="1" applyBorder="1" applyAlignment="1" applyProtection="1">
      <alignment vertical="center" wrapText="1"/>
    </xf>
    <xf numFmtId="0" fontId="57" fillId="0" borderId="19" xfId="0" applyFont="1" applyBorder="1" applyAlignment="1" applyProtection="1">
      <alignment vertical="center" wrapText="1"/>
    </xf>
    <xf numFmtId="164" fontId="64" fillId="10" borderId="17" xfId="0" applyNumberFormat="1" applyFont="1" applyFill="1" applyBorder="1" applyAlignment="1" applyProtection="1">
      <alignment vertical="center" wrapText="1"/>
    </xf>
    <xf numFmtId="164" fontId="64" fillId="0" borderId="45" xfId="0" applyNumberFormat="1" applyFont="1" applyBorder="1" applyAlignment="1" applyProtection="1">
      <alignment vertical="center"/>
    </xf>
    <xf numFmtId="164" fontId="64" fillId="0" borderId="17" xfId="0" applyNumberFormat="1" applyFont="1" applyBorder="1" applyAlignment="1" applyProtection="1">
      <alignment vertical="center"/>
    </xf>
    <xf numFmtId="164" fontId="28" fillId="7" borderId="43" xfId="0" applyNumberFormat="1" applyFont="1" applyFill="1" applyBorder="1" applyAlignment="1" applyProtection="1">
      <alignment vertical="center"/>
    </xf>
    <xf numFmtId="0" fontId="46" fillId="0" borderId="51" xfId="0" applyFont="1" applyBorder="1" applyAlignment="1" applyProtection="1">
      <alignment horizontal="center" vertical="center"/>
    </xf>
    <xf numFmtId="0" fontId="46" fillId="0" borderId="52" xfId="0" applyFont="1" applyBorder="1" applyAlignment="1" applyProtection="1">
      <alignment horizontal="center" vertical="center"/>
    </xf>
    <xf numFmtId="0" fontId="46" fillId="0" borderId="48" xfId="0" applyFont="1" applyBorder="1" applyAlignment="1" applyProtection="1">
      <alignment horizontal="center" vertical="center"/>
    </xf>
    <xf numFmtId="0" fontId="46" fillId="0" borderId="49" xfId="0" applyFont="1" applyBorder="1" applyAlignment="1" applyProtection="1">
      <alignment horizontal="center" vertical="center"/>
    </xf>
    <xf numFmtId="0" fontId="34" fillId="0" borderId="55" xfId="0" applyFont="1" applyBorder="1" applyAlignment="1" applyProtection="1">
      <alignment horizontal="center" vertical="center"/>
    </xf>
    <xf numFmtId="0" fontId="34" fillId="0" borderId="56" xfId="0" applyFont="1" applyBorder="1" applyAlignment="1" applyProtection="1">
      <alignment horizontal="center" vertical="center"/>
    </xf>
    <xf numFmtId="0" fontId="34" fillId="0" borderId="49" xfId="0" applyFont="1" applyBorder="1" applyAlignment="1" applyProtection="1">
      <alignment horizontal="center" vertical="center"/>
    </xf>
    <xf numFmtId="0" fontId="34" fillId="0" borderId="50" xfId="0" applyFont="1" applyBorder="1" applyAlignment="1" applyProtection="1">
      <alignment horizontal="center" vertical="center"/>
    </xf>
    <xf numFmtId="164" fontId="64" fillId="10" borderId="17" xfId="0" applyNumberFormat="1" applyFont="1" applyFill="1" applyBorder="1" applyAlignment="1" applyProtection="1">
      <alignment horizontal="right" vertical="center" wrapText="1"/>
    </xf>
    <xf numFmtId="0" fontId="37" fillId="0" borderId="10" xfId="0" applyFont="1" applyFill="1" applyBorder="1" applyAlignment="1" applyProtection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/>
    </xf>
    <xf numFmtId="0" fontId="37" fillId="0" borderId="46" xfId="0" applyFont="1" applyFill="1" applyBorder="1" applyAlignment="1" applyProtection="1">
      <alignment horizontal="center" vertical="center" wrapText="1"/>
    </xf>
    <xf numFmtId="0" fontId="37" fillId="0" borderId="28" xfId="0" applyFont="1" applyFill="1" applyBorder="1" applyAlignment="1" applyProtection="1">
      <alignment horizontal="center" vertical="center" wrapText="1"/>
    </xf>
    <xf numFmtId="0" fontId="37" fillId="0" borderId="16" xfId="0" applyFont="1" applyFill="1" applyBorder="1" applyAlignment="1" applyProtection="1">
      <alignment horizontal="center" vertical="center" wrapText="1"/>
    </xf>
    <xf numFmtId="0" fontId="37" fillId="0" borderId="47" xfId="0" applyFont="1" applyFill="1" applyBorder="1" applyAlignment="1" applyProtection="1">
      <alignment horizontal="center" vertical="center" wrapText="1"/>
    </xf>
    <xf numFmtId="0" fontId="53" fillId="10" borderId="17" xfId="0" applyFont="1" applyFill="1" applyBorder="1" applyAlignment="1" applyProtection="1">
      <alignment horizontal="left" vertical="center" wrapText="1"/>
    </xf>
    <xf numFmtId="0" fontId="27" fillId="0" borderId="10" xfId="0" applyFont="1" applyBorder="1" applyAlignment="1" applyProtection="1">
      <alignment horizontal="center" vertical="center" wrapText="1"/>
    </xf>
    <xf numFmtId="0" fontId="27" fillId="0" borderId="11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center" vertical="center" wrapText="1"/>
    </xf>
    <xf numFmtId="0" fontId="27" fillId="0" borderId="25" xfId="0" applyFont="1" applyBorder="1" applyAlignment="1" applyProtection="1">
      <alignment horizontal="center"/>
    </xf>
    <xf numFmtId="0" fontId="27" fillId="0" borderId="26" xfId="0" applyFont="1" applyBorder="1" applyAlignment="1" applyProtection="1">
      <alignment horizontal="center"/>
    </xf>
    <xf numFmtId="0" fontId="27" fillId="0" borderId="27" xfId="0" applyFont="1" applyBorder="1" applyAlignment="1" applyProtection="1">
      <alignment horizontal="center"/>
    </xf>
    <xf numFmtId="0" fontId="27" fillId="0" borderId="30" xfId="0" applyFont="1" applyBorder="1" applyAlignment="1" applyProtection="1">
      <alignment horizontal="center" vertical="top" wrapText="1"/>
    </xf>
    <xf numFmtId="0" fontId="27" fillId="0" borderId="31" xfId="0" applyFont="1" applyBorder="1" applyAlignment="1" applyProtection="1">
      <alignment horizontal="center" vertical="top" wrapText="1"/>
    </xf>
    <xf numFmtId="0" fontId="27" fillId="0" borderId="32" xfId="0" applyFont="1" applyBorder="1" applyAlignment="1" applyProtection="1">
      <alignment horizontal="center" vertical="top" wrapText="1"/>
    </xf>
    <xf numFmtId="0" fontId="38" fillId="0" borderId="30" xfId="0" applyFont="1" applyBorder="1" applyAlignment="1" applyProtection="1">
      <alignment horizontal="center" vertical="center" textRotation="180"/>
    </xf>
    <xf numFmtId="0" fontId="38" fillId="0" borderId="33" xfId="0" applyFont="1" applyBorder="1" applyAlignment="1" applyProtection="1">
      <alignment horizontal="center" vertical="center" textRotation="180"/>
    </xf>
    <xf numFmtId="0" fontId="27" fillId="0" borderId="30" xfId="0" applyFont="1" applyBorder="1" applyAlignment="1" applyProtection="1">
      <alignment horizontal="center" vertical="center"/>
    </xf>
    <xf numFmtId="0" fontId="27" fillId="0" borderId="31" xfId="0" applyFont="1" applyBorder="1" applyAlignment="1" applyProtection="1">
      <alignment horizontal="center" vertical="center"/>
    </xf>
    <xf numFmtId="0" fontId="27" fillId="0" borderId="32" xfId="0" applyFont="1" applyBorder="1" applyAlignment="1" applyProtection="1">
      <alignment horizontal="center" vertical="center"/>
    </xf>
    <xf numFmtId="2" fontId="53" fillId="10" borderId="17" xfId="0" applyNumberFormat="1" applyFont="1" applyFill="1" applyBorder="1" applyAlignment="1" applyProtection="1">
      <alignment horizontal="left" vertical="center" wrapText="1"/>
    </xf>
    <xf numFmtId="0" fontId="40" fillId="0" borderId="44" xfId="0" applyFont="1" applyBorder="1" applyAlignment="1" applyProtection="1">
      <alignment horizontal="center" vertical="center"/>
    </xf>
    <xf numFmtId="0" fontId="40" fillId="0" borderId="17" xfId="0" applyFont="1" applyBorder="1" applyAlignment="1" applyProtection="1">
      <alignment horizontal="center" vertical="center"/>
    </xf>
    <xf numFmtId="0" fontId="40" fillId="0" borderId="45" xfId="0" applyFont="1" applyBorder="1" applyAlignment="1" applyProtection="1">
      <alignment horizontal="center" vertical="center"/>
    </xf>
    <xf numFmtId="165" fontId="62" fillId="7" borderId="63" xfId="0" applyNumberFormat="1" applyFont="1" applyFill="1" applyBorder="1" applyAlignment="1" applyProtection="1">
      <alignment horizontal="center" vertical="center"/>
      <protection locked="0"/>
    </xf>
    <xf numFmtId="165" fontId="62" fillId="7" borderId="64" xfId="0" applyNumberFormat="1" applyFont="1" applyFill="1" applyBorder="1" applyAlignment="1" applyProtection="1">
      <alignment horizontal="center" vertical="center"/>
      <protection locked="0"/>
    </xf>
    <xf numFmtId="165" fontId="62" fillId="7" borderId="65" xfId="0" applyNumberFormat="1" applyFont="1" applyFill="1" applyBorder="1" applyAlignment="1" applyProtection="1">
      <alignment horizontal="center" vertical="center"/>
      <protection locked="0"/>
    </xf>
    <xf numFmtId="165" fontId="62" fillId="7" borderId="66" xfId="0" applyNumberFormat="1" applyFont="1" applyFill="1" applyBorder="1" applyAlignment="1" applyProtection="1">
      <alignment horizontal="center" vertical="center"/>
      <protection locked="0"/>
    </xf>
    <xf numFmtId="165" fontId="62" fillId="7" borderId="67" xfId="0" applyNumberFormat="1" applyFont="1" applyFill="1" applyBorder="1" applyAlignment="1" applyProtection="1">
      <alignment horizontal="center" vertical="center"/>
      <protection locked="0"/>
    </xf>
    <xf numFmtId="165" fontId="62" fillId="7" borderId="68" xfId="0" applyNumberFormat="1" applyFont="1" applyFill="1" applyBorder="1" applyAlignment="1" applyProtection="1">
      <alignment horizontal="center" vertical="center"/>
      <protection locked="0"/>
    </xf>
    <xf numFmtId="0" fontId="45" fillId="5" borderId="10" xfId="0" applyNumberFormat="1" applyFont="1" applyFill="1" applyBorder="1" applyAlignment="1" applyProtection="1">
      <alignment horizontal="center" vertical="center"/>
      <protection locked="0"/>
    </xf>
    <xf numFmtId="0" fontId="45" fillId="5" borderId="12" xfId="0" applyNumberFormat="1" applyFont="1" applyFill="1" applyBorder="1" applyAlignment="1" applyProtection="1">
      <alignment horizontal="center" vertical="center"/>
      <protection locked="0"/>
    </xf>
    <xf numFmtId="1" fontId="30" fillId="0" borderId="10" xfId="0" applyNumberFormat="1" applyFont="1" applyBorder="1" applyAlignment="1" applyProtection="1">
      <alignment horizontal="center" vertical="center"/>
    </xf>
    <xf numFmtId="1" fontId="30" fillId="0" borderId="12" xfId="0" applyNumberFormat="1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57" fillId="0" borderId="5" xfId="0" applyFont="1" applyBorder="1" applyAlignment="1" applyProtection="1">
      <alignment horizontal="center" vertical="center"/>
    </xf>
    <xf numFmtId="0" fontId="58" fillId="0" borderId="5" xfId="0" applyFont="1" applyBorder="1" applyAlignment="1" applyProtection="1">
      <alignment horizontal="center" vertical="center"/>
    </xf>
    <xf numFmtId="0" fontId="58" fillId="0" borderId="20" xfId="0" applyFont="1" applyBorder="1" applyAlignment="1" applyProtection="1">
      <alignment horizontal="center" vertical="center"/>
    </xf>
    <xf numFmtId="0" fontId="27" fillId="0" borderId="10" xfId="0" applyFont="1" applyBorder="1" applyAlignment="1" applyProtection="1">
      <alignment horizontal="left" vertical="center" wrapText="1"/>
    </xf>
    <xf numFmtId="0" fontId="27" fillId="0" borderId="11" xfId="0" applyFont="1" applyBorder="1" applyAlignment="1" applyProtection="1">
      <alignment horizontal="left" vertical="center" wrapText="1"/>
    </xf>
    <xf numFmtId="0" fontId="27" fillId="0" borderId="12" xfId="0" applyFont="1" applyBorder="1" applyAlignment="1" applyProtection="1">
      <alignment horizontal="left" vertical="center" wrapText="1"/>
    </xf>
    <xf numFmtId="0" fontId="35" fillId="9" borderId="20" xfId="0" applyFont="1" applyFill="1" applyBorder="1" applyAlignment="1" applyProtection="1">
      <alignment horizontal="left" vertical="center"/>
    </xf>
    <xf numFmtId="0" fontId="35" fillId="9" borderId="7" xfId="0" applyFont="1" applyFill="1" applyBorder="1" applyAlignment="1" applyProtection="1">
      <alignment horizontal="left" vertical="center"/>
    </xf>
    <xf numFmtId="0" fontId="35" fillId="9" borderId="14" xfId="0" applyFont="1" applyFill="1" applyBorder="1" applyAlignment="1" applyProtection="1">
      <alignment horizontal="left" vertical="center"/>
    </xf>
    <xf numFmtId="166" fontId="62" fillId="0" borderId="9" xfId="0" applyNumberFormat="1" applyFont="1" applyFill="1" applyBorder="1" applyAlignment="1" applyProtection="1">
      <alignment horizontal="center" vertical="center" wrapText="1"/>
    </xf>
    <xf numFmtId="166" fontId="62" fillId="0" borderId="18" xfId="0" applyNumberFormat="1" applyFont="1" applyFill="1" applyBorder="1" applyAlignment="1" applyProtection="1">
      <alignment horizontal="center" vertical="center" wrapText="1"/>
    </xf>
    <xf numFmtId="0" fontId="63" fillId="0" borderId="9" xfId="0" applyFont="1" applyBorder="1" applyAlignment="1" applyProtection="1">
      <alignment horizontal="center" vertical="center" wrapText="1"/>
    </xf>
    <xf numFmtId="0" fontId="63" fillId="0" borderId="18" xfId="0" applyFont="1" applyBorder="1" applyAlignment="1" applyProtection="1">
      <alignment horizontal="center" vertical="center" wrapText="1"/>
    </xf>
    <xf numFmtId="165" fontId="47" fillId="0" borderId="51" xfId="0" applyNumberFormat="1" applyFont="1" applyBorder="1" applyAlignment="1" applyProtection="1">
      <alignment horizontal="left" vertical="center" wrapText="1"/>
    </xf>
    <xf numFmtId="165" fontId="47" fillId="0" borderId="52" xfId="0" applyNumberFormat="1" applyFont="1" applyBorder="1" applyAlignment="1" applyProtection="1">
      <alignment horizontal="left" vertical="center" wrapText="1"/>
    </xf>
    <xf numFmtId="165" fontId="47" fillId="0" borderId="53" xfId="0" applyNumberFormat="1" applyFont="1" applyBorder="1" applyAlignment="1" applyProtection="1">
      <alignment horizontal="left" vertical="center" wrapText="1"/>
    </xf>
    <xf numFmtId="165" fontId="47" fillId="0" borderId="21" xfId="0" applyNumberFormat="1" applyFont="1" applyBorder="1" applyAlignment="1" applyProtection="1">
      <alignment horizontal="left" vertical="center" wrapText="1"/>
    </xf>
    <xf numFmtId="165" fontId="47" fillId="0" borderId="22" xfId="0" applyNumberFormat="1" applyFont="1" applyBorder="1" applyAlignment="1" applyProtection="1">
      <alignment horizontal="left" vertical="center" wrapText="1"/>
    </xf>
    <xf numFmtId="165" fontId="47" fillId="0" borderId="34" xfId="0" applyNumberFormat="1" applyFont="1" applyBorder="1" applyAlignment="1" applyProtection="1">
      <alignment horizontal="left" vertical="center" wrapText="1"/>
    </xf>
    <xf numFmtId="0" fontId="50" fillId="11" borderId="0" xfId="0" applyFont="1" applyFill="1" applyAlignment="1" applyProtection="1">
      <alignment horizontal="left" vertical="center"/>
      <protection hidden="1"/>
    </xf>
    <xf numFmtId="0" fontId="27" fillId="0" borderId="30" xfId="0" applyFont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center" vertical="center" wrapText="1"/>
    </xf>
    <xf numFmtId="0" fontId="27" fillId="0" borderId="32" xfId="0" applyFont="1" applyBorder="1" applyAlignment="1" applyProtection="1">
      <alignment horizontal="center" vertical="center" wrapText="1"/>
    </xf>
    <xf numFmtId="0" fontId="35" fillId="9" borderId="20" xfId="0" applyFont="1" applyFill="1" applyBorder="1" applyAlignment="1" applyProtection="1">
      <alignment horizontal="center" vertical="center"/>
    </xf>
    <xf numFmtId="0" fontId="35" fillId="9" borderId="14" xfId="0" applyFont="1" applyFill="1" applyBorder="1" applyAlignment="1" applyProtection="1">
      <alignment horizontal="center" vertical="center"/>
    </xf>
    <xf numFmtId="0" fontId="49" fillId="0" borderId="27" xfId="0" applyFont="1" applyBorder="1" applyAlignment="1" applyProtection="1">
      <alignment horizontal="center" vertical="center" textRotation="180"/>
    </xf>
    <xf numFmtId="0" fontId="24" fillId="0" borderId="54" xfId="0" applyFont="1" applyBorder="1" applyAlignment="1" applyProtection="1">
      <alignment horizontal="left" vertical="top" wrapText="1"/>
    </xf>
    <xf numFmtId="0" fontId="24" fillId="0" borderId="55" xfId="0" applyFont="1" applyBorder="1" applyAlignment="1" applyProtection="1">
      <alignment horizontal="left" vertical="top" wrapText="1"/>
    </xf>
    <xf numFmtId="0" fontId="24" fillId="0" borderId="56" xfId="0" applyFont="1" applyBorder="1" applyAlignment="1" applyProtection="1">
      <alignment horizontal="left" vertical="top" wrapText="1"/>
    </xf>
    <xf numFmtId="0" fontId="24" fillId="0" borderId="57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horizontal="left" vertical="top" wrapText="1"/>
    </xf>
    <xf numFmtId="0" fontId="24" fillId="0" borderId="24" xfId="0" applyFont="1" applyBorder="1" applyAlignment="1" applyProtection="1">
      <alignment horizontal="left" vertical="top" wrapText="1"/>
    </xf>
    <xf numFmtId="0" fontId="24" fillId="0" borderId="58" xfId="0" applyFont="1" applyBorder="1" applyAlignment="1" applyProtection="1">
      <alignment horizontal="left" vertical="top" wrapText="1"/>
    </xf>
    <xf numFmtId="0" fontId="24" fillId="0" borderId="59" xfId="0" applyFont="1" applyBorder="1" applyAlignment="1" applyProtection="1">
      <alignment horizontal="left" vertical="top" wrapText="1"/>
    </xf>
    <xf numFmtId="0" fontId="24" fillId="0" borderId="60" xfId="0" applyFont="1" applyBorder="1" applyAlignment="1" applyProtection="1">
      <alignment horizontal="left" vertical="top" wrapText="1"/>
    </xf>
    <xf numFmtId="0" fontId="27" fillId="7" borderId="54" xfId="0" applyFont="1" applyFill="1" applyBorder="1" applyAlignment="1" applyProtection="1">
      <alignment horizontal="center" vertical="center"/>
    </xf>
    <xf numFmtId="0" fontId="27" fillId="7" borderId="55" xfId="0" applyFont="1" applyFill="1" applyBorder="1" applyAlignment="1" applyProtection="1">
      <alignment horizontal="center" vertical="center"/>
    </xf>
    <xf numFmtId="0" fontId="27" fillId="7" borderId="56" xfId="0" applyFont="1" applyFill="1" applyBorder="1" applyAlignment="1" applyProtection="1">
      <alignment horizontal="center" vertical="center"/>
    </xf>
    <xf numFmtId="0" fontId="27" fillId="7" borderId="57" xfId="0" applyFont="1" applyFill="1" applyBorder="1" applyAlignment="1" applyProtection="1">
      <alignment horizontal="center" vertical="center"/>
    </xf>
    <xf numFmtId="0" fontId="27" fillId="7" borderId="0" xfId="0" applyFont="1" applyFill="1" applyBorder="1" applyAlignment="1" applyProtection="1">
      <alignment horizontal="center" vertical="center"/>
    </xf>
    <xf numFmtId="0" fontId="27" fillId="7" borderId="24" xfId="0" applyFont="1" applyFill="1" applyBorder="1" applyAlignment="1" applyProtection="1">
      <alignment horizontal="center" vertical="center"/>
    </xf>
    <xf numFmtId="0" fontId="27" fillId="7" borderId="58" xfId="0" applyFont="1" applyFill="1" applyBorder="1" applyAlignment="1" applyProtection="1">
      <alignment horizontal="center" vertical="center"/>
    </xf>
    <xf numFmtId="0" fontId="27" fillId="7" borderId="59" xfId="0" applyFont="1" applyFill="1" applyBorder="1" applyAlignment="1" applyProtection="1">
      <alignment horizontal="center" vertical="center"/>
    </xf>
    <xf numFmtId="0" fontId="27" fillId="7" borderId="60" xfId="0" applyFont="1" applyFill="1" applyBorder="1" applyAlignment="1" applyProtection="1">
      <alignment horizontal="center" vertical="center"/>
    </xf>
    <xf numFmtId="0" fontId="42" fillId="0" borderId="13" xfId="0" applyFont="1" applyBorder="1" applyAlignment="1" applyProtection="1">
      <alignment horizontal="left" vertical="center" wrapText="1"/>
    </xf>
    <xf numFmtId="0" fontId="42" fillId="0" borderId="61" xfId="0" applyFont="1" applyBorder="1" applyAlignment="1" applyProtection="1">
      <alignment horizontal="left" vertical="center" wrapText="1"/>
    </xf>
    <xf numFmtId="0" fontId="42" fillId="0" borderId="15" xfId="0" applyFont="1" applyBorder="1" applyAlignment="1" applyProtection="1">
      <alignment horizontal="left" vertical="center" wrapText="1"/>
    </xf>
    <xf numFmtId="0" fontId="42" fillId="0" borderId="62" xfId="0" applyFont="1" applyBorder="1" applyAlignment="1" applyProtection="1">
      <alignment horizontal="left" vertical="center" wrapText="1"/>
    </xf>
    <xf numFmtId="0" fontId="33" fillId="0" borderId="10" xfId="0" applyFont="1" applyBorder="1" applyAlignment="1" applyProtection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</xf>
    <xf numFmtId="0" fontId="33" fillId="0" borderId="28" xfId="0" applyFont="1" applyBorder="1" applyAlignment="1" applyProtection="1">
      <alignment horizontal="center" vertical="center" wrapText="1"/>
    </xf>
    <xf numFmtId="0" fontId="33" fillId="0" borderId="29" xfId="0" applyFont="1" applyBorder="1" applyAlignment="1" applyProtection="1">
      <alignment horizontal="center" vertical="center" wrapText="1"/>
    </xf>
    <xf numFmtId="0" fontId="27" fillId="0" borderId="14" xfId="0" applyFont="1" applyBorder="1" applyAlignment="1" applyProtection="1">
      <alignment horizontal="center" vertical="center" wrapText="1"/>
    </xf>
    <xf numFmtId="0" fontId="27" fillId="0" borderId="5" xfId="0" applyFont="1" applyBorder="1" applyAlignment="1" applyProtection="1">
      <alignment horizontal="center" vertical="center" wrapText="1"/>
    </xf>
    <xf numFmtId="14" fontId="62" fillId="6" borderId="10" xfId="0" applyNumberFormat="1" applyFont="1" applyFill="1" applyBorder="1" applyAlignment="1" applyProtection="1">
      <alignment horizontal="center" vertical="center"/>
    </xf>
    <xf numFmtId="14" fontId="62" fillId="6" borderId="28" xfId="0" applyNumberFormat="1" applyFont="1" applyFill="1" applyBorder="1" applyAlignment="1" applyProtection="1">
      <alignment horizontal="center" vertical="center"/>
    </xf>
    <xf numFmtId="0" fontId="65" fillId="0" borderId="44" xfId="0" applyFont="1" applyBorder="1" applyAlignment="1" applyProtection="1">
      <alignment horizontal="center" vertical="center"/>
    </xf>
    <xf numFmtId="0" fontId="65" fillId="0" borderId="17" xfId="0" applyFont="1" applyBorder="1" applyAlignment="1" applyProtection="1">
      <alignment horizontal="center" vertical="center"/>
    </xf>
    <xf numFmtId="0" fontId="65" fillId="0" borderId="45" xfId="0" applyFont="1" applyBorder="1" applyAlignment="1" applyProtection="1">
      <alignment horizontal="center" vertical="center"/>
    </xf>
    <xf numFmtId="0" fontId="27" fillId="7" borderId="25" xfId="0" applyFont="1" applyFill="1" applyBorder="1" applyAlignment="1" applyProtection="1">
      <alignment horizontal="center"/>
    </xf>
    <xf numFmtId="0" fontId="27" fillId="7" borderId="26" xfId="0" applyFont="1" applyFill="1" applyBorder="1" applyAlignment="1" applyProtection="1">
      <alignment horizontal="center"/>
    </xf>
    <xf numFmtId="0" fontId="27" fillId="7" borderId="27" xfId="0" applyFont="1" applyFill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 vertical="center" wrapText="1"/>
    </xf>
    <xf numFmtId="0" fontId="31" fillId="0" borderId="7" xfId="0" applyFont="1" applyBorder="1" applyAlignment="1" applyProtection="1">
      <alignment horizontal="center" vertical="center" wrapText="1"/>
    </xf>
    <xf numFmtId="0" fontId="25" fillId="2" borderId="0" xfId="0" applyFont="1" applyFill="1" applyAlignment="1" applyProtection="1">
      <alignment horizontal="center"/>
    </xf>
    <xf numFmtId="0" fontId="28" fillId="0" borderId="1" xfId="0" applyFont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/>
    </xf>
    <xf numFmtId="0" fontId="28" fillId="0" borderId="23" xfId="0" applyFont="1" applyBorder="1" applyAlignment="1" applyProtection="1">
      <alignment horizontal="center"/>
    </xf>
    <xf numFmtId="0" fontId="29" fillId="3" borderId="3" xfId="0" applyFont="1" applyFill="1" applyBorder="1" applyAlignment="1" applyProtection="1">
      <alignment horizontal="center" vertical="center"/>
    </xf>
    <xf numFmtId="0" fontId="29" fillId="3" borderId="0" xfId="0" applyFont="1" applyFill="1" applyBorder="1" applyAlignment="1" applyProtection="1">
      <alignment horizontal="center" vertical="center"/>
    </xf>
    <xf numFmtId="0" fontId="29" fillId="3" borderId="24" xfId="0" applyFont="1" applyFill="1" applyBorder="1" applyAlignment="1" applyProtection="1">
      <alignment horizontal="center" vertical="center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27" fillId="4" borderId="5" xfId="0" applyFont="1" applyFill="1" applyBorder="1" applyAlignment="1" applyProtection="1">
      <alignment horizontal="center" vertical="center"/>
    </xf>
    <xf numFmtId="0" fontId="27" fillId="0" borderId="25" xfId="0" applyFont="1" applyBorder="1" applyAlignment="1" applyProtection="1">
      <alignment horizontal="center" vertical="center"/>
    </xf>
    <xf numFmtId="0" fontId="27" fillId="0" borderId="26" xfId="0" applyFont="1" applyBorder="1" applyAlignment="1" applyProtection="1">
      <alignment horizontal="center" vertical="center"/>
    </xf>
    <xf numFmtId="0" fontId="27" fillId="0" borderId="27" xfId="0" applyFont="1" applyBorder="1" applyAlignment="1" applyProtection="1">
      <alignment horizontal="center" vertical="center"/>
    </xf>
  </cellXfs>
  <cellStyles count="44">
    <cellStyle name="20% - Accent1" xfId="4"/>
    <cellStyle name="20% - Accent2" xfId="5"/>
    <cellStyle name="20% - Accent3" xfId="1"/>
    <cellStyle name="20% - Accent4" xfId="6"/>
    <cellStyle name="20% - Accent5" xfId="8"/>
    <cellStyle name="20% - Accent6" xfId="10"/>
    <cellStyle name="40% - Accent1" xfId="2"/>
    <cellStyle name="40% - Accent2" xfId="12"/>
    <cellStyle name="40% - Accent3" xfId="14"/>
    <cellStyle name="40% - Accent4" xfId="15"/>
    <cellStyle name="40% - Accent5" xfId="16"/>
    <cellStyle name="40% - Accent6" xfId="17"/>
    <cellStyle name="60% - Accent1" xfId="7"/>
    <cellStyle name="60% - Accent2" xfId="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"/>
    <cellStyle name="Check Cell" xfId="33"/>
    <cellStyle name="Explanatory Text" xfId="34"/>
    <cellStyle name="Good" xfId="19"/>
    <cellStyle name="Heading 1" xfId="35"/>
    <cellStyle name="Heading 2" xfId="32"/>
    <cellStyle name="Heading 3" xfId="36"/>
    <cellStyle name="Heading 4" xfId="37"/>
    <cellStyle name="Input" xfId="38"/>
    <cellStyle name="Linked Cell" xfId="39"/>
    <cellStyle name="Neutral" xfId="40"/>
    <cellStyle name="Normal" xfId="0" builtinId="0"/>
    <cellStyle name="Normal 2" xfId="43"/>
    <cellStyle name="Normal_Call Register" xfId="42"/>
    <cellStyle name="Note" xfId="31"/>
    <cellStyle name="Output" xfId="18"/>
    <cellStyle name="Title" xfId="11"/>
    <cellStyle name="Total" xfId="41"/>
    <cellStyle name="Warning Text" xfId="13"/>
  </cellStyles>
  <dxfs count="1">
    <dxf>
      <font>
        <b/>
        <i/>
        <color indexed="10"/>
      </font>
      <fill>
        <patternFill>
          <fgColor indexed="10"/>
          <bgColor indexed="13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6"/>
  <sheetViews>
    <sheetView tabSelected="1" workbookViewId="0">
      <selection activeCell="J4" sqref="J4"/>
    </sheetView>
  </sheetViews>
  <sheetFormatPr defaultColWidth="0" defaultRowHeight="15" zeroHeight="1"/>
  <cols>
    <col min="1" max="1" width="22" style="14" customWidth="1"/>
    <col min="2" max="2" width="16.7109375" style="14" customWidth="1"/>
    <col min="3" max="3" width="15" style="14" customWidth="1"/>
    <col min="4" max="5" width="5.140625" style="14" customWidth="1"/>
    <col min="6" max="6" width="5.7109375" style="14" customWidth="1"/>
    <col min="7" max="7" width="11.5703125" style="14" customWidth="1"/>
    <col min="8" max="8" width="12.5703125" style="14" customWidth="1"/>
    <col min="9" max="9" width="10.85546875" style="14" customWidth="1"/>
    <col min="10" max="10" width="10.140625" style="14" customWidth="1"/>
    <col min="11" max="11" width="13.42578125" style="14" customWidth="1"/>
    <col min="12" max="12" width="14.42578125" style="14" customWidth="1"/>
    <col min="13" max="14" width="7.28515625" style="47" customWidth="1"/>
    <col min="15" max="15" width="12.5703125" style="47" customWidth="1"/>
    <col min="16" max="16" width="1.5703125" style="13" customWidth="1"/>
    <col min="17" max="17" width="12.140625" style="13" hidden="1" customWidth="1"/>
    <col min="18" max="18" width="11.28515625" style="13" hidden="1" customWidth="1"/>
    <col min="19" max="19" width="8.42578125" style="13" hidden="1" customWidth="1"/>
    <col min="20" max="20" width="12" style="13" hidden="1" customWidth="1"/>
    <col min="21" max="21" width="11.7109375" style="13" hidden="1" customWidth="1"/>
    <col min="22" max="28" width="8.85546875" style="13" hidden="1" customWidth="1"/>
    <col min="29" max="16384" width="8.85546875" style="14" hidden="1"/>
  </cols>
  <sheetData>
    <row r="1" spans="1:28" ht="15.75" thickBot="1">
      <c r="A1" s="248" t="s">
        <v>98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</row>
    <row r="2" spans="1:28" ht="17.25" thickTop="1">
      <c r="A2" s="249" t="s">
        <v>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1"/>
    </row>
    <row r="3" spans="1:28" ht="19.5" customHeight="1">
      <c r="A3" s="252" t="s">
        <v>217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4"/>
    </row>
    <row r="4" spans="1:28" ht="20.25" customHeight="1">
      <c r="A4" s="15" t="s">
        <v>1</v>
      </c>
      <c r="B4" s="255"/>
      <c r="C4" s="255"/>
      <c r="D4" s="255"/>
      <c r="E4" s="255"/>
      <c r="F4" s="256" t="s">
        <v>95</v>
      </c>
      <c r="G4" s="256"/>
      <c r="H4" s="87">
        <v>43922</v>
      </c>
      <c r="I4" s="85" t="s">
        <v>3</v>
      </c>
      <c r="J4" s="131" t="s">
        <v>222</v>
      </c>
      <c r="K4" s="16" t="s">
        <v>4</v>
      </c>
      <c r="L4" s="17"/>
      <c r="M4" s="257" t="s">
        <v>215</v>
      </c>
      <c r="N4" s="258"/>
      <c r="O4" s="259"/>
      <c r="Q4" s="18">
        <v>43922</v>
      </c>
      <c r="R4" s="13">
        <f>IF(L5=0,0,IF(L5&gt;29000,T11,IF(L5&gt;22730,T10,T9)))</f>
        <v>0</v>
      </c>
      <c r="U4" s="203" t="s">
        <v>5</v>
      </c>
    </row>
    <row r="5" spans="1:28" s="21" customFormat="1" ht="3.75" customHeight="1">
      <c r="A5" s="246">
        <f>IF(J4="Retiring",IF(C7&lt;DATE(2017,12,31),DATE(2017,2,1),EOMONTH(C7,1)+1),DATE(2018,4,1))</f>
        <v>43191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19"/>
      <c r="N5" s="220"/>
      <c r="O5" s="221"/>
      <c r="P5" s="19"/>
      <c r="Q5" s="20">
        <v>42461</v>
      </c>
      <c r="R5" s="19"/>
      <c r="S5" s="19"/>
      <c r="T5" s="19" t="s">
        <v>2</v>
      </c>
      <c r="U5" s="203"/>
      <c r="V5" s="19"/>
      <c r="W5" s="19"/>
      <c r="X5" s="19"/>
      <c r="Y5" s="19"/>
      <c r="Z5" s="19"/>
      <c r="AA5" s="19"/>
      <c r="AB5" s="19"/>
    </row>
    <row r="6" spans="1:28" ht="19.5" customHeight="1">
      <c r="A6" s="22" t="s">
        <v>96</v>
      </c>
      <c r="B6" s="92">
        <v>1000000</v>
      </c>
      <c r="C6" s="23"/>
      <c r="D6" s="155" t="s">
        <v>6</v>
      </c>
      <c r="E6" s="156"/>
      <c r="F6" s="156"/>
      <c r="G6" s="157"/>
      <c r="H6" s="179" t="s">
        <v>54</v>
      </c>
      <c r="I6" s="180"/>
      <c r="J6" s="86"/>
      <c r="K6" s="86"/>
      <c r="L6" s="24"/>
      <c r="M6" s="222"/>
      <c r="N6" s="223"/>
      <c r="O6" s="224"/>
      <c r="T6" s="25"/>
      <c r="U6" s="111" t="s">
        <v>7</v>
      </c>
      <c r="V6" s="109" t="s">
        <v>8</v>
      </c>
      <c r="W6" s="109" t="s">
        <v>9</v>
      </c>
      <c r="X6" s="109" t="s">
        <v>10</v>
      </c>
      <c r="Y6" s="109" t="s">
        <v>11</v>
      </c>
      <c r="Z6" s="109" t="s">
        <v>12</v>
      </c>
      <c r="AA6" s="109" t="s">
        <v>13</v>
      </c>
      <c r="AB6" s="109" t="s">
        <v>14</v>
      </c>
    </row>
    <row r="7" spans="1:28" ht="15" customHeight="1">
      <c r="A7" s="228" t="str">
        <f>IF(J4="Retiring","Date of Retirement (Employee retiring after 01/04/2020)  e.g. 29-JUL-1919","")</f>
        <v/>
      </c>
      <c r="B7" s="229"/>
      <c r="C7" s="173"/>
      <c r="D7" s="174"/>
      <c r="E7" s="175"/>
      <c r="F7" s="236" t="s">
        <v>15</v>
      </c>
      <c r="G7" s="237"/>
      <c r="H7" s="193">
        <f>IF(J4="Retiring",EOMONTH(C7,1)+1,DATE(2020,4,1))</f>
        <v>43922</v>
      </c>
      <c r="I7" s="232" t="s">
        <v>214</v>
      </c>
      <c r="J7" s="233"/>
      <c r="K7" s="195">
        <f>MIN(12,DATEDIF(H7,DATE(2021,3,31),"M")+1)</f>
        <v>12</v>
      </c>
      <c r="L7" s="238">
        <f>+H4</f>
        <v>43922</v>
      </c>
      <c r="M7" s="222"/>
      <c r="N7" s="223"/>
      <c r="O7" s="224"/>
      <c r="Q7" s="13" t="s">
        <v>16</v>
      </c>
      <c r="R7" s="13" t="s">
        <v>17</v>
      </c>
      <c r="T7" s="28">
        <v>43922</v>
      </c>
      <c r="U7" s="110">
        <v>300000</v>
      </c>
      <c r="V7" s="105">
        <v>6193</v>
      </c>
      <c r="W7" s="105">
        <v>6470</v>
      </c>
      <c r="X7" s="105">
        <v>8814</v>
      </c>
      <c r="Y7" s="105">
        <v>9101</v>
      </c>
      <c r="Z7" s="105">
        <v>10178</v>
      </c>
      <c r="AA7" s="105">
        <v>10909</v>
      </c>
      <c r="AB7" s="105">
        <v>13539</v>
      </c>
    </row>
    <row r="8" spans="1:28" ht="15" customHeight="1">
      <c r="A8" s="230"/>
      <c r="B8" s="231"/>
      <c r="C8" s="176"/>
      <c r="D8" s="177"/>
      <c r="E8" s="178"/>
      <c r="F8" s="236"/>
      <c r="G8" s="237"/>
      <c r="H8" s="194"/>
      <c r="I8" s="234"/>
      <c r="J8" s="235"/>
      <c r="K8" s="196"/>
      <c r="L8" s="239"/>
      <c r="M8" s="225"/>
      <c r="N8" s="226"/>
      <c r="O8" s="227"/>
      <c r="Q8" s="94">
        <v>1</v>
      </c>
      <c r="R8" s="94">
        <v>1</v>
      </c>
      <c r="S8" s="13" t="s">
        <v>18</v>
      </c>
      <c r="T8" s="32" t="s">
        <v>19</v>
      </c>
      <c r="U8" s="110">
        <v>400000</v>
      </c>
      <c r="V8" s="105">
        <v>8415</v>
      </c>
      <c r="W8" s="105">
        <v>8768</v>
      </c>
      <c r="X8" s="105">
        <v>12004</v>
      </c>
      <c r="Y8" s="105">
        <v>12421</v>
      </c>
      <c r="Z8" s="105">
        <v>13896</v>
      </c>
      <c r="AA8" s="105">
        <v>14890</v>
      </c>
      <c r="AB8" s="105">
        <v>18426</v>
      </c>
    </row>
    <row r="9" spans="1:28" s="35" customFormat="1" ht="13.9" customHeight="1">
      <c r="A9" s="132"/>
      <c r="B9" s="133"/>
      <c r="C9" s="134"/>
      <c r="D9" s="183" t="s">
        <v>23</v>
      </c>
      <c r="E9" s="183"/>
      <c r="F9" s="184"/>
      <c r="G9" s="185" t="str">
        <f>IF(H6&lt;B6,"YOU CAN NOT OPT SUM INSURED LESS THAN YOUR ELIGIBLE SUM INSURED.","")</f>
        <v/>
      </c>
      <c r="H9" s="185"/>
      <c r="I9" s="185"/>
      <c r="J9" s="185"/>
      <c r="K9" s="185"/>
      <c r="L9" s="186"/>
      <c r="M9" s="158" t="s">
        <v>32</v>
      </c>
      <c r="N9" s="159"/>
      <c r="O9" s="160"/>
      <c r="P9" s="33"/>
      <c r="Q9" s="95">
        <v>2</v>
      </c>
      <c r="R9" s="94">
        <v>12</v>
      </c>
      <c r="S9" s="93">
        <v>0</v>
      </c>
      <c r="T9" s="97">
        <v>500000</v>
      </c>
      <c r="U9" s="110">
        <v>500000</v>
      </c>
      <c r="V9" s="105">
        <v>10469</v>
      </c>
      <c r="W9" s="105">
        <v>10604</v>
      </c>
      <c r="X9" s="105">
        <v>14603</v>
      </c>
      <c r="Y9" s="105">
        <v>15126</v>
      </c>
      <c r="Z9" s="105">
        <v>16956</v>
      </c>
      <c r="AA9" s="105">
        <v>18383</v>
      </c>
      <c r="AB9" s="105">
        <v>23439</v>
      </c>
    </row>
    <row r="10" spans="1:28" ht="44.25" customHeight="1">
      <c r="A10" s="132" t="s">
        <v>20</v>
      </c>
      <c r="B10" s="133" t="s">
        <v>21</v>
      </c>
      <c r="C10" s="134" t="s">
        <v>22</v>
      </c>
      <c r="D10" s="128" t="s">
        <v>24</v>
      </c>
      <c r="E10" s="128" t="s">
        <v>25</v>
      </c>
      <c r="F10" s="128" t="s">
        <v>26</v>
      </c>
      <c r="G10" s="129" t="s">
        <v>27</v>
      </c>
      <c r="H10" s="128" t="str">
        <f>CONCATENATE("Completed Age as on ",TEXT(H4,"dd/mm/yyyy"))</f>
        <v>Completed Age as on 01/04/2020</v>
      </c>
      <c r="I10" s="129" t="s">
        <v>28</v>
      </c>
      <c r="J10" s="129" t="s">
        <v>29</v>
      </c>
      <c r="K10" s="128" t="s">
        <v>30</v>
      </c>
      <c r="L10" s="130" t="s">
        <v>31</v>
      </c>
      <c r="M10" s="243"/>
      <c r="N10" s="244"/>
      <c r="O10" s="245"/>
      <c r="Q10" s="94">
        <v>3</v>
      </c>
      <c r="R10" s="94">
        <v>11</v>
      </c>
      <c r="S10" s="26">
        <v>43300</v>
      </c>
      <c r="T10" s="98">
        <v>600000</v>
      </c>
      <c r="U10" s="110">
        <v>600000</v>
      </c>
      <c r="V10" s="105">
        <v>11535</v>
      </c>
      <c r="W10" s="105">
        <v>11684</v>
      </c>
      <c r="X10" s="105">
        <v>16089</v>
      </c>
      <c r="Y10" s="105">
        <v>16666</v>
      </c>
      <c r="Z10" s="105">
        <v>18683</v>
      </c>
      <c r="AA10" s="105">
        <v>20255</v>
      </c>
      <c r="AB10" s="105">
        <v>25825</v>
      </c>
    </row>
    <row r="11" spans="1:28" ht="12.75" customHeight="1">
      <c r="A11" s="36"/>
      <c r="B11" s="55" t="s">
        <v>100</v>
      </c>
      <c r="C11" s="56"/>
      <c r="D11" s="57"/>
      <c r="E11" s="57"/>
      <c r="F11" s="57"/>
      <c r="G11" s="58" t="str">
        <f>IF(ISBLANK(D11),"",DATE(F11,E11,D11))</f>
        <v/>
      </c>
      <c r="H11" s="59">
        <f t="shared" ref="H11:H16" si="0">IF(G11="",0,(DATEDIF(G11,$H$4,"Y")))</f>
        <v>0</v>
      </c>
      <c r="I11" s="56">
        <f>IF(H11=0,0,IF(H11&lt;=35,VLOOKUP(VALUE($H$6),$U$7:$AB$20,2),IF(H11&lt;=45,VLOOKUP(VALUE($H$6),$U$7:$AB$20,3),IF(H11&lt;=55,VLOOKUP(VALUE($H$6),$U$7:$AB$20,4),IF(H11&lt;=65,VLOOKUP(VALUE($H$6),$U$7:$AB$20,5),IF(H11&lt;=70,VLOOKUP(VALUE($H$6),$U$7:$AB$20,6),IF(H11&lt;=75,VLOOKUP(VALUE($H$6),$U$7:$AB$20,7),VLOOKUP(VALUE($H$6),$U$7:$AB$20,8))))))))</f>
        <v>0</v>
      </c>
      <c r="J11" s="56">
        <f>IF(I11=0,0,IF(H11&lt;=35,VLOOKUP($B$6,$U$7:$AB$22,2),IF(H11&lt;=45,VLOOKUP($B$6,$U$7:$AB$22,3),IF(H11&lt;=55,VLOOKUP($B$6,$U$7:$AB$22,4),IF(H11&lt;=65,VLOOKUP($B$6,$U$7:$AB$22,5),IF(H11&lt;=70,VLOOKUP($B$6,$U$7:$AB$22,6),IF(H11&lt;=75,VLOOKUP($B$6,$U$7:$AB$22,7),VLOOKUP($B$6,$U$7:$AB$22,8))))))))</f>
        <v>0</v>
      </c>
      <c r="K11" s="60">
        <f>IF(J11="","",J11*75%)</f>
        <v>0</v>
      </c>
      <c r="L11" s="61">
        <f t="shared" ref="L11" si="1">+I11-K11</f>
        <v>0</v>
      </c>
      <c r="M11" s="161" t="s">
        <v>36</v>
      </c>
      <c r="N11" s="162"/>
      <c r="O11" s="163"/>
      <c r="Q11" s="95">
        <v>4</v>
      </c>
      <c r="R11" s="94">
        <v>10</v>
      </c>
      <c r="S11" s="26">
        <v>55335</v>
      </c>
      <c r="T11" s="98">
        <v>1000000</v>
      </c>
      <c r="U11" s="110">
        <v>800000</v>
      </c>
      <c r="V11" s="105">
        <v>12906</v>
      </c>
      <c r="W11" s="105">
        <v>13071</v>
      </c>
      <c r="X11" s="105">
        <v>18000</v>
      </c>
      <c r="Y11" s="105">
        <v>18648</v>
      </c>
      <c r="Z11" s="105">
        <v>20903</v>
      </c>
      <c r="AA11" s="105">
        <v>22661</v>
      </c>
      <c r="AB11" s="105">
        <v>28894</v>
      </c>
    </row>
    <row r="12" spans="1:28" ht="12.75" customHeight="1">
      <c r="A12" s="62"/>
      <c r="B12" s="55" t="s">
        <v>33</v>
      </c>
      <c r="C12" s="63" t="s">
        <v>34</v>
      </c>
      <c r="D12" s="57"/>
      <c r="E12" s="57"/>
      <c r="F12" s="57"/>
      <c r="G12" s="58" t="str">
        <f t="shared" ref="G12" si="2">IF(ISBLANK(D12),"",DATE(F12,E12,D12))</f>
        <v/>
      </c>
      <c r="H12" s="59">
        <f t="shared" si="0"/>
        <v>0</v>
      </c>
      <c r="I12" s="56">
        <f>IF(H12=0,0,IF(H12&lt;=35,VLOOKUP(VALUE($H$6),$U$27:$AB$41,2),IF(H12&lt;=45,VLOOKUP(VALUE($H$6),$U$27:$AB$41,3),IF(H12&lt;=55,VLOOKUP(VALUE($H$6),$U$27:$AB$41,4),IF(H12&lt;=65,VLOOKUP(VALUE($H$6),$U$27:$AB$41,5),IF(H12&lt;=70,VLOOKUP(VALUE($H$6),$U$27:$AB$41,6),IF(H12&lt;=75,VLOOKUP(VALUE($H$6),$U$27:$AB$41,7),VLOOKUP(VALUE($H$6),$U$27:$AB$41,8))))))))</f>
        <v>0</v>
      </c>
      <c r="J12" s="56">
        <f>IF(I12=0,0,IF(H12&lt;=35,VLOOKUP($B$6,$U$27:$AB$41,2),IF(H12&lt;=45,VLOOKUP($B$6,$U$27:$AB$41,3),IF(H12&lt;=55,VLOOKUP($B$6,$U$27:$AB$41,4),IF(H12&lt;=65,VLOOKUP($B$6,$U$27:$AB$41,5),IF(H12&lt;=70,VLOOKUP($B$6,$U$27:$AB$41,6),IF(H12&lt;=75,VLOOKUP($B$6,$U$27:$AB$41,7),VLOOKUP($B$6,$U$27:$AB$41,8))))))))</f>
        <v>0</v>
      </c>
      <c r="K12" s="60">
        <f>IF(AND(J12="",J4="Retired"),"",J12*75%)</f>
        <v>0</v>
      </c>
      <c r="L12" s="61">
        <f>IF(AND(D11=0,D12&gt;0),"ERROR",+I12-K12)</f>
        <v>0</v>
      </c>
      <c r="M12" s="210" t="str">
        <f>"I confirm having opted for Sum Insured Rs."&amp;H6&amp;" for total of "&amp;TEXT(COUNTIF(L11:L24,"&gt;0"),"00")&amp;" Family member(s) and details of the same are correct. I have read all the terms and conditions of Staff GMC Policy and agree to abide by the same. "&amp; "I also understand that in case of retired employee, company will contribute only for self and spouse premium and full premium shall be charged for children"</f>
        <v>I confirm having opted for Sum Insured Rs.2000000 for total of 00 Family member(s) and details of the same are correct. I have read all the terms and conditions of Staff GMC Policy and agree to abide by the same. I also understand that in case of retired employee, company will contribute only for self and spouse premium and full premium shall be charged for children</v>
      </c>
      <c r="N12" s="211"/>
      <c r="O12" s="212"/>
      <c r="Q12" s="94">
        <v>5</v>
      </c>
      <c r="R12" s="94">
        <v>9</v>
      </c>
      <c r="T12" s="25"/>
      <c r="U12" s="110">
        <v>1000000</v>
      </c>
      <c r="V12" s="105">
        <v>13515</v>
      </c>
      <c r="W12" s="105">
        <v>13689</v>
      </c>
      <c r="X12" s="105">
        <v>18850</v>
      </c>
      <c r="Y12" s="105">
        <v>19528</v>
      </c>
      <c r="Z12" s="105">
        <v>21889</v>
      </c>
      <c r="AA12" s="105">
        <v>23731</v>
      </c>
      <c r="AB12" s="105">
        <v>30258</v>
      </c>
    </row>
    <row r="13" spans="1:28" ht="12.75" customHeight="1">
      <c r="A13" s="62"/>
      <c r="B13" s="55" t="s">
        <v>35</v>
      </c>
      <c r="C13" s="63" t="s">
        <v>34</v>
      </c>
      <c r="D13" s="57"/>
      <c r="E13" s="57"/>
      <c r="F13" s="57"/>
      <c r="G13" s="58" t="str">
        <f>IF(ISBLANK(D13),"",DATE(F13,E13,D13))</f>
        <v/>
      </c>
      <c r="H13" s="59">
        <f t="shared" si="0"/>
        <v>0</v>
      </c>
      <c r="I13" s="56">
        <f>IF(AND(ISBLANK(D13),H13=0),0,IF(H13&lt;=35,VLOOKUP(VALUE($H$6),$U$47:$AB$60,2),IF(H13&lt;=45,VLOOKUP(VALUE($H$6),$U$47:$AB$60,3),IF(H13&lt;=55,VLOOKUP(VALUE($H$6),$U$47:$AB$60,4),IF(H13&lt;=65,VLOOKUP(VALUE($H$6),$U$47:$AB$60,5),IF(H13&lt;=70,VLOOKUP(VALUE($H$6),$U$47:$AB$60,6),IF(H13&lt;=75,VLOOKUP(VALUE($H$6),$U$47:$AB$60,7),VLOOKUP(VALUE($H$6),$U$47:$AB$60,8))))))))</f>
        <v>0</v>
      </c>
      <c r="J13" s="56">
        <v>0</v>
      </c>
      <c r="K13" s="60">
        <f>IF(J13="","",IF($J$4="Existing",J13*75%,0))</f>
        <v>0</v>
      </c>
      <c r="L13" s="61">
        <f>+I13-K13</f>
        <v>0</v>
      </c>
      <c r="M13" s="213"/>
      <c r="N13" s="214"/>
      <c r="O13" s="215"/>
      <c r="Q13" s="95">
        <v>6</v>
      </c>
      <c r="R13" s="94">
        <v>8</v>
      </c>
      <c r="T13" s="25"/>
      <c r="U13" s="110">
        <v>1200000</v>
      </c>
      <c r="V13" s="105">
        <v>14466</v>
      </c>
      <c r="W13" s="105">
        <v>14653</v>
      </c>
      <c r="X13" s="105">
        <v>20178</v>
      </c>
      <c r="Y13" s="105">
        <v>20903</v>
      </c>
      <c r="Z13" s="105">
        <v>23430</v>
      </c>
      <c r="AA13" s="105">
        <v>25401</v>
      </c>
      <c r="AB13" s="105">
        <v>32388</v>
      </c>
    </row>
    <row r="14" spans="1:28" ht="12.75" customHeight="1">
      <c r="A14" s="62"/>
      <c r="B14" s="55" t="s">
        <v>35</v>
      </c>
      <c r="C14" s="63" t="s">
        <v>34</v>
      </c>
      <c r="D14" s="57"/>
      <c r="E14" s="57"/>
      <c r="F14" s="57"/>
      <c r="G14" s="58" t="str">
        <f t="shared" ref="G14" si="3">IF(ISBLANK(D14),"",DATE(F14,E14,D14))</f>
        <v/>
      </c>
      <c r="H14" s="59">
        <f t="shared" si="0"/>
        <v>0</v>
      </c>
      <c r="I14" s="56">
        <f>IF(AND(ISBLANK(D14),H14=0),0,IF(H14&lt;=35,VLOOKUP(VALUE($H$6),$U$47:$AB$60,2),IF(H14&lt;=45,VLOOKUP(VALUE($H$6),$U$47:$AB$60,3),IF(H14&lt;=55,VLOOKUP(VALUE($H$6),$U$47:$AB$60,4),IF(H14&lt;=65,VLOOKUP(VALUE($H$6),$U$47:$AB$60,5),IF(H14&lt;=70,VLOOKUP(VALUE($H$6),$U$47:$AB$60,6),IF(H14&lt;=75,VLOOKUP(VALUE($H$6),$U$47:$AB$60,7),VLOOKUP(VALUE($H$6),$U$47:$AB$60,8))))))))</f>
        <v>0</v>
      </c>
      <c r="J14" s="56">
        <v>0</v>
      </c>
      <c r="K14" s="60">
        <f>IF(J14="","",IF($J$4="Existing",J14*75%,0))</f>
        <v>0</v>
      </c>
      <c r="L14" s="61">
        <f>+I14-K14</f>
        <v>0</v>
      </c>
      <c r="M14" s="213"/>
      <c r="N14" s="214"/>
      <c r="O14" s="215"/>
      <c r="Q14" s="94">
        <v>7</v>
      </c>
      <c r="R14" s="94">
        <v>7</v>
      </c>
      <c r="T14" s="25"/>
      <c r="U14" s="110">
        <v>1500000</v>
      </c>
      <c r="V14" s="105">
        <v>15101</v>
      </c>
      <c r="W14" s="105">
        <v>15295</v>
      </c>
      <c r="X14" s="105">
        <v>21063</v>
      </c>
      <c r="Y14" s="105">
        <v>21820</v>
      </c>
      <c r="Z14" s="105">
        <v>24458</v>
      </c>
      <c r="AA14" s="105">
        <v>26515</v>
      </c>
      <c r="AB14" s="105">
        <v>33808</v>
      </c>
    </row>
    <row r="15" spans="1:28" ht="12.75" customHeight="1">
      <c r="A15" s="62"/>
      <c r="B15" s="55" t="s">
        <v>37</v>
      </c>
      <c r="C15" s="55" t="s">
        <v>38</v>
      </c>
      <c r="D15" s="57"/>
      <c r="E15" s="57"/>
      <c r="F15" s="57"/>
      <c r="G15" s="58" t="str">
        <f>IF(ISBLANK(D15),"",DATE(F15,E15,D15))</f>
        <v/>
      </c>
      <c r="H15" s="59">
        <f t="shared" si="0"/>
        <v>0</v>
      </c>
      <c r="I15" s="56">
        <f t="shared" ref="I15" si="4">IF(H15=0,0,IF(H15&lt;=35,VLOOKUP(VALUE($H$6),$U$65:$AB$78,2),IF(H15&lt;=45,VLOOKUP(VALUE($H$6),$U$65:$AB$78,3),IF(H15&lt;=55,VLOOKUP(VALUE($H$6),$U$65:$AB$78,4),IF(H15&lt;=65,VLOOKUP(VALUE($H$6),$U$65:$AB$78,5),IF(H15&lt;=70,VLOOKUP(VALUE($H$6),$U$65:$AB$78,6),IF(H15&lt;=75,VLOOKUP(VALUE($H$6),$U$65:$AB$78,7),VLOOKUP(VALUE($H$6),$U$65:$AB$78,8))))))))</f>
        <v>0</v>
      </c>
      <c r="J15" s="56">
        <v>0</v>
      </c>
      <c r="K15" s="60">
        <f t="shared" ref="K15" si="5">IF(J15="","",IF($J$4="Existing",J15*75%,0))</f>
        <v>0</v>
      </c>
      <c r="L15" s="61">
        <f t="shared" ref="L15" si="6">+I15</f>
        <v>0</v>
      </c>
      <c r="M15" s="213"/>
      <c r="N15" s="214"/>
      <c r="O15" s="215"/>
      <c r="Q15" s="95">
        <v>8</v>
      </c>
      <c r="R15" s="94">
        <v>6</v>
      </c>
      <c r="T15" s="25"/>
      <c r="U15" s="110">
        <v>2000000</v>
      </c>
      <c r="V15" s="105">
        <v>16053</v>
      </c>
      <c r="W15" s="105">
        <v>16260</v>
      </c>
      <c r="X15" s="105">
        <v>22390</v>
      </c>
      <c r="Y15" s="105">
        <v>23194</v>
      </c>
      <c r="Z15" s="105">
        <v>25999</v>
      </c>
      <c r="AA15" s="105">
        <v>28188</v>
      </c>
      <c r="AB15" s="105">
        <v>35939</v>
      </c>
    </row>
    <row r="16" spans="1:28" ht="12.75" customHeight="1">
      <c r="A16" s="62"/>
      <c r="B16" s="55" t="s">
        <v>39</v>
      </c>
      <c r="C16" s="55" t="s">
        <v>38</v>
      </c>
      <c r="D16" s="57"/>
      <c r="E16" s="57"/>
      <c r="F16" s="57"/>
      <c r="G16" s="58" t="str">
        <f>IF(ISBLANK(D16),"",DATE(F16,E16,D16))</f>
        <v/>
      </c>
      <c r="H16" s="59">
        <f t="shared" si="0"/>
        <v>0</v>
      </c>
      <c r="I16" s="56">
        <f>IF(H16=0,0,IF(H16&lt;=35,VLOOKUP(VALUE($H$6),$U$65:$AB$78,2),IF(H16&lt;=45,VLOOKUP(VALUE($H$6),$U$65:$AB$78,3),IF(H16&lt;=55,VLOOKUP(VALUE($H$6),$U$65:$AB$78,4),IF(H16&lt;=65,VLOOKUP(VALUE($H$6),$U$65:$AB$78,5),IF(H16&lt;=70,VLOOKUP(VALUE($H$6),$U$65:$AB$78,6),IF(H16&lt;=75,VLOOKUP(VALUE($H$6),$U$65:$AB$78,7),VLOOKUP(VALUE($H$6),$U$65:$AB$78,8))))))))</f>
        <v>0</v>
      </c>
      <c r="J16" s="56">
        <v>0</v>
      </c>
      <c r="K16" s="60">
        <f>IF(J16="","",IF($J$4="Existing",J16*75%,0))</f>
        <v>0</v>
      </c>
      <c r="L16" s="61">
        <f>+I16</f>
        <v>0</v>
      </c>
      <c r="M16" s="213"/>
      <c r="N16" s="214"/>
      <c r="O16" s="215"/>
      <c r="Q16" s="94">
        <v>9</v>
      </c>
      <c r="R16" s="94">
        <v>5</v>
      </c>
      <c r="T16" s="25"/>
      <c r="U16" s="110">
        <v>2500000</v>
      </c>
      <c r="V16" s="105">
        <v>17458</v>
      </c>
      <c r="W16" s="105">
        <v>17683</v>
      </c>
      <c r="X16" s="105">
        <v>24629</v>
      </c>
      <c r="Y16" s="105">
        <v>25514</v>
      </c>
      <c r="Z16" s="105">
        <v>28924</v>
      </c>
      <c r="AA16" s="105">
        <v>31359</v>
      </c>
      <c r="AB16" s="105">
        <v>39981</v>
      </c>
    </row>
    <row r="17" spans="1:28" ht="12.75" customHeight="1">
      <c r="A17" s="62"/>
      <c r="B17" s="55" t="s">
        <v>40</v>
      </c>
      <c r="C17" s="55" t="s">
        <v>41</v>
      </c>
      <c r="D17" s="57"/>
      <c r="E17" s="57"/>
      <c r="F17" s="57"/>
      <c r="G17" s="58" t="str">
        <f t="shared" ref="G17" si="7">IF(ISBLANK(D17),"",DATE(F17,E17,D17))</f>
        <v/>
      </c>
      <c r="H17" s="59">
        <f t="shared" ref="H17" si="8">IF(G17="",0,(DATEDIF(G17,$H$4,"Y")))</f>
        <v>0</v>
      </c>
      <c r="I17" s="56">
        <f>IF(H17=0,0,IF(H17&lt;=35,VLOOKUP(VALUE($H$6),$U$65:$AB$78,2),IF(H17&lt;=45,VLOOKUP(VALUE($H$6),$U$65:$AB$78,3),IF(H17&lt;=55,VLOOKUP(VALUE($H$6),$U$65:$AB$78,4),IF(H17&lt;=65,VLOOKUP(VALUE($H$6),$U$65:$AB$78,5),IF(H17&lt;=70,VLOOKUP(VALUE($H$6),$U$65:$AB$78,6),IF(H17&lt;=75,VLOOKUP(VALUE($H$6),$U$65:$AB$78,7),VLOOKUP(VALUE($H$6),$U$65:$AB$78,8))))))))</f>
        <v>0</v>
      </c>
      <c r="J17" s="56">
        <v>0</v>
      </c>
      <c r="K17" s="60">
        <f>IF(J17="","",IF($J$4="Existing",J17*75%,0))</f>
        <v>0</v>
      </c>
      <c r="L17" s="61">
        <f t="shared" ref="L17" si="9">+I17</f>
        <v>0</v>
      </c>
      <c r="M17" s="213"/>
      <c r="N17" s="214"/>
      <c r="O17" s="215"/>
      <c r="Q17" s="95">
        <v>10</v>
      </c>
      <c r="R17" s="94">
        <v>4</v>
      </c>
      <c r="T17" s="25"/>
      <c r="U17" s="110">
        <v>3000000</v>
      </c>
      <c r="V17" s="105">
        <v>18694</v>
      </c>
      <c r="W17" s="105">
        <v>18935</v>
      </c>
      <c r="X17" s="105">
        <v>26599</v>
      </c>
      <c r="Y17" s="105">
        <v>27554</v>
      </c>
      <c r="Z17" s="105">
        <v>31498</v>
      </c>
      <c r="AA17" s="105">
        <v>34149</v>
      </c>
      <c r="AB17" s="105">
        <v>43540</v>
      </c>
    </row>
    <row r="18" spans="1:28" ht="12.75" customHeight="1">
      <c r="A18" s="62"/>
      <c r="B18" s="55" t="s">
        <v>42</v>
      </c>
      <c r="C18" s="55" t="s">
        <v>41</v>
      </c>
      <c r="D18" s="57"/>
      <c r="E18" s="57"/>
      <c r="F18" s="57"/>
      <c r="G18" s="58" t="str">
        <f t="shared" ref="G18:G24" si="10">IF(ISBLANK(D18),"",DATE(F18,E18,D18))</f>
        <v/>
      </c>
      <c r="H18" s="59">
        <f t="shared" ref="H18:H24" si="11">IF(G18="",0,(DATEDIF(G18,$H$4,"Y")))</f>
        <v>0</v>
      </c>
      <c r="I18" s="56">
        <f>IF(H18=0,0,IF(H18&lt;=35,VLOOKUP(VALUE($H$6),$U$65:$AB$78,2),IF(H18&lt;=45,VLOOKUP(VALUE($H$6),$U$65:$AB$78,3),IF(H18&lt;=55,VLOOKUP(VALUE($H$6),$U$65:$AB$78,4),IF(H18&lt;=65,VLOOKUP(VALUE($H$6),$U$65:$AB$78,5),IF(H18&lt;=70,VLOOKUP(VALUE($H$6),$U$65:$AB$78,6),IF(H18&lt;=75,VLOOKUP(VALUE($H$6),$U$65:$AB$78,7),VLOOKUP(VALUE($H$6),$U$65:$AB$78,8))))))))</f>
        <v>0</v>
      </c>
      <c r="J18" s="56">
        <v>0</v>
      </c>
      <c r="K18" s="60">
        <f>IF(J18="","",IF($J$4="Existing",J18*75%,0))</f>
        <v>0</v>
      </c>
      <c r="L18" s="61">
        <f t="shared" ref="L18:L24" si="12">+I18</f>
        <v>0</v>
      </c>
      <c r="M18" s="213"/>
      <c r="N18" s="214"/>
      <c r="O18" s="215"/>
      <c r="Q18" s="94">
        <v>11</v>
      </c>
      <c r="R18" s="94">
        <v>3</v>
      </c>
      <c r="T18" s="25"/>
      <c r="U18" s="110">
        <v>3500000</v>
      </c>
      <c r="V18" s="105">
        <v>19705</v>
      </c>
      <c r="W18" s="105">
        <v>19959</v>
      </c>
      <c r="X18" s="105">
        <v>28211</v>
      </c>
      <c r="Y18" s="105">
        <v>29224</v>
      </c>
      <c r="Z18" s="105">
        <v>33604</v>
      </c>
      <c r="AA18" s="105">
        <v>36433</v>
      </c>
      <c r="AB18" s="105">
        <v>46451</v>
      </c>
    </row>
    <row r="19" spans="1:28" ht="12.75" customHeight="1">
      <c r="A19" s="62"/>
      <c r="B19" s="55" t="s">
        <v>43</v>
      </c>
      <c r="C19" s="55" t="s">
        <v>44</v>
      </c>
      <c r="D19" s="57"/>
      <c r="E19" s="57"/>
      <c r="F19" s="57"/>
      <c r="G19" s="58" t="str">
        <f t="shared" si="10"/>
        <v/>
      </c>
      <c r="H19" s="59">
        <f t="shared" si="11"/>
        <v>0</v>
      </c>
      <c r="I19" s="56">
        <f t="shared" ref="I19:I24" si="13">IF(AND(ISBLANK(D19),H19=0),0,IF(H19&lt;=35,VLOOKUP(VALUE($H$6),$U$82:$AB$96,2),IF(H19&lt;=45,VLOOKUP(VALUE($H$6),$U$82:$AB$96,3),IF(H19&lt;=55,VLOOKUP(VALUE($H$6),$U$82:$AB$96,4),IF(H19&lt;=65,VLOOKUP(VALUE($H$6),$U$82:$AB$96,5),IF(H19&lt;=70,VLOOKUP(VALUE($H$6),$U$82:$AB$96,6),IF(H19&lt;=75,VLOOKUP(VALUE($H$6),$U$82:$AB$96,7),VLOOKUP(VALUE($H$6),$U$82:$AB$96,8))))))))</f>
        <v>0</v>
      </c>
      <c r="J19" s="56">
        <v>0</v>
      </c>
      <c r="K19" s="60">
        <v>0</v>
      </c>
      <c r="L19" s="61">
        <f t="shared" si="12"/>
        <v>0</v>
      </c>
      <c r="M19" s="213"/>
      <c r="N19" s="214"/>
      <c r="O19" s="215"/>
      <c r="Q19" s="95">
        <v>12</v>
      </c>
      <c r="R19" s="94">
        <v>2</v>
      </c>
      <c r="T19" s="25"/>
      <c r="U19" s="110">
        <v>4000000</v>
      </c>
      <c r="V19" s="105">
        <v>20548</v>
      </c>
      <c r="W19" s="105">
        <v>20813</v>
      </c>
      <c r="X19" s="105">
        <v>29555</v>
      </c>
      <c r="Y19" s="105">
        <v>30616</v>
      </c>
      <c r="Z19" s="105">
        <v>35359</v>
      </c>
      <c r="AA19" s="105">
        <v>38335</v>
      </c>
      <c r="AB19" s="105">
        <v>48876</v>
      </c>
    </row>
    <row r="20" spans="1:28" ht="12.75" customHeight="1">
      <c r="A20" s="62"/>
      <c r="B20" s="55" t="s">
        <v>43</v>
      </c>
      <c r="C20" s="55" t="s">
        <v>44</v>
      </c>
      <c r="D20" s="57"/>
      <c r="E20" s="57"/>
      <c r="F20" s="57"/>
      <c r="G20" s="58" t="str">
        <f t="shared" si="10"/>
        <v/>
      </c>
      <c r="H20" s="59">
        <f t="shared" si="11"/>
        <v>0</v>
      </c>
      <c r="I20" s="56">
        <f t="shared" si="13"/>
        <v>0</v>
      </c>
      <c r="J20" s="56">
        <v>0</v>
      </c>
      <c r="K20" s="60">
        <v>0</v>
      </c>
      <c r="L20" s="61">
        <f t="shared" si="12"/>
        <v>0</v>
      </c>
      <c r="M20" s="213"/>
      <c r="N20" s="214"/>
      <c r="O20" s="215"/>
      <c r="Q20" s="26"/>
      <c r="R20" s="93">
        <v>-1</v>
      </c>
      <c r="T20" s="25"/>
      <c r="U20" s="110">
        <v>5000000</v>
      </c>
      <c r="V20" s="105">
        <v>21671</v>
      </c>
      <c r="W20" s="105">
        <v>21951</v>
      </c>
      <c r="X20" s="105">
        <v>31346</v>
      </c>
      <c r="Y20" s="105">
        <v>32471</v>
      </c>
      <c r="Z20" s="105">
        <v>37699</v>
      </c>
      <c r="AA20" s="105">
        <v>40873</v>
      </c>
      <c r="AB20" s="105">
        <v>52111</v>
      </c>
    </row>
    <row r="21" spans="1:28" ht="12.75" customHeight="1">
      <c r="A21" s="62"/>
      <c r="B21" s="55" t="s">
        <v>43</v>
      </c>
      <c r="C21" s="55" t="s">
        <v>44</v>
      </c>
      <c r="D21" s="57"/>
      <c r="E21" s="57"/>
      <c r="F21" s="57"/>
      <c r="G21" s="58" t="str">
        <f t="shared" si="10"/>
        <v/>
      </c>
      <c r="H21" s="59">
        <f t="shared" si="11"/>
        <v>0</v>
      </c>
      <c r="I21" s="56">
        <f t="shared" si="13"/>
        <v>0</v>
      </c>
      <c r="J21" s="56">
        <v>0</v>
      </c>
      <c r="K21" s="60">
        <v>0</v>
      </c>
      <c r="L21" s="61">
        <f t="shared" si="12"/>
        <v>0</v>
      </c>
      <c r="M21" s="213"/>
      <c r="N21" s="214"/>
      <c r="O21" s="215"/>
      <c r="Q21" s="26"/>
      <c r="R21" s="26"/>
    </row>
    <row r="22" spans="1:28" ht="12.75" customHeight="1">
      <c r="A22" s="62"/>
      <c r="B22" s="55" t="s">
        <v>43</v>
      </c>
      <c r="C22" s="55" t="s">
        <v>44</v>
      </c>
      <c r="D22" s="57"/>
      <c r="E22" s="57"/>
      <c r="F22" s="57"/>
      <c r="G22" s="58" t="str">
        <f t="shared" si="10"/>
        <v/>
      </c>
      <c r="H22" s="59">
        <f t="shared" si="11"/>
        <v>0</v>
      </c>
      <c r="I22" s="56">
        <f t="shared" si="13"/>
        <v>0</v>
      </c>
      <c r="J22" s="56">
        <v>0</v>
      </c>
      <c r="K22" s="60">
        <v>0</v>
      </c>
      <c r="L22" s="61">
        <f t="shared" si="12"/>
        <v>0</v>
      </c>
      <c r="M22" s="213"/>
      <c r="N22" s="214"/>
      <c r="O22" s="215"/>
    </row>
    <row r="23" spans="1:28" ht="12.75" customHeight="1">
      <c r="A23" s="62"/>
      <c r="B23" s="55" t="s">
        <v>43</v>
      </c>
      <c r="C23" s="55" t="s">
        <v>44</v>
      </c>
      <c r="D23" s="57"/>
      <c r="E23" s="57"/>
      <c r="F23" s="57"/>
      <c r="G23" s="58" t="str">
        <f t="shared" si="10"/>
        <v/>
      </c>
      <c r="H23" s="59">
        <f t="shared" si="11"/>
        <v>0</v>
      </c>
      <c r="I23" s="56">
        <f t="shared" si="13"/>
        <v>0</v>
      </c>
      <c r="J23" s="56">
        <v>0</v>
      </c>
      <c r="K23" s="60">
        <v>0</v>
      </c>
      <c r="L23" s="61">
        <f t="shared" si="12"/>
        <v>0</v>
      </c>
      <c r="M23" s="216"/>
      <c r="N23" s="217"/>
      <c r="O23" s="218"/>
      <c r="T23" s="25"/>
      <c r="U23" s="27"/>
      <c r="V23" s="30"/>
      <c r="W23" s="30"/>
      <c r="X23" s="30"/>
      <c r="Y23" s="30"/>
      <c r="Z23" s="30"/>
      <c r="AA23" s="30"/>
      <c r="AB23" s="30"/>
    </row>
    <row r="24" spans="1:28" ht="13.5" customHeight="1">
      <c r="A24" s="62"/>
      <c r="B24" s="55" t="s">
        <v>43</v>
      </c>
      <c r="C24" s="55" t="s">
        <v>44</v>
      </c>
      <c r="D24" s="57"/>
      <c r="E24" s="57"/>
      <c r="F24" s="57"/>
      <c r="G24" s="58" t="str">
        <f t="shared" si="10"/>
        <v/>
      </c>
      <c r="H24" s="59">
        <f t="shared" si="11"/>
        <v>0</v>
      </c>
      <c r="I24" s="56">
        <f t="shared" si="13"/>
        <v>0</v>
      </c>
      <c r="J24" s="56">
        <v>0</v>
      </c>
      <c r="K24" s="60">
        <v>0</v>
      </c>
      <c r="L24" s="61">
        <f t="shared" si="12"/>
        <v>0</v>
      </c>
      <c r="M24" s="204" t="s">
        <v>45</v>
      </c>
      <c r="N24" s="205"/>
      <c r="O24" s="206"/>
      <c r="T24" s="25"/>
      <c r="U24" s="37"/>
      <c r="V24" s="38"/>
      <c r="W24" s="38"/>
      <c r="X24" s="38"/>
      <c r="Y24" s="38"/>
      <c r="Z24" s="38"/>
      <c r="AA24" s="38"/>
      <c r="AB24" s="38"/>
    </row>
    <row r="25" spans="1:28" ht="16.5" customHeight="1">
      <c r="A25" s="64"/>
      <c r="B25" s="65"/>
      <c r="C25" s="65"/>
      <c r="D25" s="65"/>
      <c r="E25" s="65"/>
      <c r="F25" s="65"/>
      <c r="G25" s="65"/>
      <c r="H25" s="66" t="s">
        <v>46</v>
      </c>
      <c r="I25" s="65">
        <f t="shared" ref="I25" si="14">SUM(I11:I24)</f>
        <v>0</v>
      </c>
      <c r="J25" s="65">
        <f>SUM(J11:J24)</f>
        <v>0</v>
      </c>
      <c r="K25" s="67">
        <f>SUM(K11:K24)</f>
        <v>0</v>
      </c>
      <c r="L25" s="68">
        <f>SUM(L11:L24)</f>
        <v>0</v>
      </c>
      <c r="M25" s="166"/>
      <c r="N25" s="167"/>
      <c r="O25" s="168"/>
      <c r="T25" s="25"/>
      <c r="U25" s="39" t="s">
        <v>33</v>
      </c>
      <c r="V25" s="25"/>
      <c r="W25" s="25"/>
      <c r="X25" s="25"/>
      <c r="Y25" s="25"/>
      <c r="Z25" s="25"/>
      <c r="AA25" s="25"/>
      <c r="AB25" s="25"/>
    </row>
    <row r="26" spans="1:28" ht="3.75" customHeight="1">
      <c r="A26" s="64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9"/>
      <c r="M26" s="166"/>
      <c r="N26" s="167"/>
      <c r="O26" s="168"/>
      <c r="T26" s="25"/>
      <c r="U26" s="111" t="s">
        <v>7</v>
      </c>
      <c r="V26" s="109" t="s">
        <v>8</v>
      </c>
      <c r="W26" s="109" t="s">
        <v>9</v>
      </c>
      <c r="X26" s="109" t="s">
        <v>10</v>
      </c>
      <c r="Y26" s="109" t="s">
        <v>11</v>
      </c>
      <c r="Z26" s="109" t="s">
        <v>12</v>
      </c>
      <c r="AA26" s="109" t="s">
        <v>13</v>
      </c>
      <c r="AB26" s="109" t="s">
        <v>14</v>
      </c>
    </row>
    <row r="27" spans="1:28" ht="16.5" customHeight="1">
      <c r="A27" s="64"/>
      <c r="B27" s="65"/>
      <c r="C27" s="190" t="s">
        <v>47</v>
      </c>
      <c r="D27" s="191"/>
      <c r="E27" s="191"/>
      <c r="F27" s="192"/>
      <c r="G27" s="70" t="s">
        <v>48</v>
      </c>
      <c r="H27" s="71">
        <f>SUM(L11:L24)</f>
        <v>0</v>
      </c>
      <c r="I27" s="72">
        <f>+I25</f>
        <v>0</v>
      </c>
      <c r="J27" s="207" t="str">
        <f>IF(J4="Existing","Monthly Premium ₹","")</f>
        <v/>
      </c>
      <c r="K27" s="208"/>
      <c r="L27" s="73" t="str">
        <f>IF(J4="Existing",ROUNDUP(H29/12,0),"")</f>
        <v/>
      </c>
      <c r="M27" s="166"/>
      <c r="N27" s="167"/>
      <c r="O27" s="168"/>
      <c r="T27" s="25"/>
      <c r="U27" s="110">
        <v>300000</v>
      </c>
      <c r="V27" s="105">
        <v>2478</v>
      </c>
      <c r="W27" s="105">
        <v>2588</v>
      </c>
      <c r="X27" s="105">
        <v>3525</v>
      </c>
      <c r="Y27" s="105">
        <v>3640</v>
      </c>
      <c r="Z27" s="105">
        <v>4071</v>
      </c>
      <c r="AA27" s="105">
        <v>4364</v>
      </c>
      <c r="AB27" s="105">
        <v>5415</v>
      </c>
    </row>
    <row r="28" spans="1:28" ht="18" customHeight="1">
      <c r="A28" s="64"/>
      <c r="B28" s="65"/>
      <c r="C28" s="190" t="s">
        <v>49</v>
      </c>
      <c r="D28" s="191"/>
      <c r="E28" s="191"/>
      <c r="F28" s="192"/>
      <c r="G28" s="74">
        <v>0.18</v>
      </c>
      <c r="H28" s="71">
        <f>ROUNDUP(H27*G28,0)</f>
        <v>0</v>
      </c>
      <c r="I28" s="72">
        <f>ROUND(I25*G28,0)</f>
        <v>0</v>
      </c>
      <c r="J28" s="148" t="str">
        <f>IF(AND(D11=0,D12&gt;0),"If Spouse is Widowed, should be entered as Self / Primary Insured","")</f>
        <v/>
      </c>
      <c r="K28" s="149"/>
      <c r="L28" s="150"/>
      <c r="M28" s="164">
        <f>+L4</f>
        <v>0</v>
      </c>
      <c r="N28" s="165"/>
      <c r="O28" s="209" t="s">
        <v>4</v>
      </c>
      <c r="T28" s="32" t="s">
        <v>50</v>
      </c>
      <c r="U28" s="110">
        <v>400000</v>
      </c>
      <c r="V28" s="105">
        <v>3366</v>
      </c>
      <c r="W28" s="105">
        <v>3508</v>
      </c>
      <c r="X28" s="105">
        <v>4801</v>
      </c>
      <c r="Y28" s="105">
        <v>4969</v>
      </c>
      <c r="Z28" s="105">
        <v>5559</v>
      </c>
      <c r="AA28" s="105">
        <v>5956</v>
      </c>
      <c r="AB28" s="105">
        <v>7370</v>
      </c>
    </row>
    <row r="29" spans="1:28" ht="18" customHeight="1">
      <c r="A29" s="64"/>
      <c r="B29" s="65"/>
      <c r="C29" s="190" t="s">
        <v>51</v>
      </c>
      <c r="D29" s="191"/>
      <c r="E29" s="191"/>
      <c r="F29" s="192"/>
      <c r="G29" s="70" t="s">
        <v>48</v>
      </c>
      <c r="H29" s="71">
        <f>SUM(H27:H28)</f>
        <v>0</v>
      </c>
      <c r="I29" s="72">
        <f>+I25+I28</f>
        <v>0</v>
      </c>
      <c r="J29" s="151"/>
      <c r="K29" s="152"/>
      <c r="L29" s="153"/>
      <c r="M29" s="164"/>
      <c r="N29" s="165"/>
      <c r="O29" s="209"/>
      <c r="T29" s="96">
        <v>500000</v>
      </c>
      <c r="U29" s="110">
        <v>500000</v>
      </c>
      <c r="V29" s="105">
        <v>4188</v>
      </c>
      <c r="W29" s="105">
        <v>4241</v>
      </c>
      <c r="X29" s="105">
        <v>5841</v>
      </c>
      <c r="Y29" s="105">
        <v>6050</v>
      </c>
      <c r="Z29" s="105">
        <v>6783</v>
      </c>
      <c r="AA29" s="105">
        <v>7353</v>
      </c>
      <c r="AB29" s="105">
        <v>9375</v>
      </c>
    </row>
    <row r="30" spans="1:28" ht="30">
      <c r="A30" s="22" t="s">
        <v>216</v>
      </c>
      <c r="B30" s="41">
        <f>+H29</f>
        <v>0</v>
      </c>
      <c r="C30" s="155" t="s">
        <v>52</v>
      </c>
      <c r="D30" s="156"/>
      <c r="E30" s="157"/>
      <c r="F30" s="42">
        <f>+K7</f>
        <v>12</v>
      </c>
      <c r="G30" s="181" t="s">
        <v>53</v>
      </c>
      <c r="H30" s="182"/>
      <c r="I30" s="187" t="str">
        <f>IF(L30&gt;=0,"Net Premium Payable including GST - Cheque","Net Premium Refundable")</f>
        <v>Net Premium Payable including GST - Cheque</v>
      </c>
      <c r="J30" s="188"/>
      <c r="K30" s="189"/>
      <c r="L30" s="138">
        <f>ROUNDUP(IF(OR(J4="Retiring",J4="Retired"),B30/12*F30,B30),0)</f>
        <v>0</v>
      </c>
      <c r="M30" s="164"/>
      <c r="N30" s="165"/>
      <c r="O30" s="209"/>
      <c r="T30" s="96">
        <v>600000</v>
      </c>
      <c r="U30" s="110">
        <v>600000</v>
      </c>
      <c r="V30" s="105">
        <v>4614</v>
      </c>
      <c r="W30" s="105">
        <v>4674</v>
      </c>
      <c r="X30" s="105">
        <v>6435</v>
      </c>
      <c r="Y30" s="105">
        <v>6666</v>
      </c>
      <c r="Z30" s="105">
        <v>7473</v>
      </c>
      <c r="AA30" s="105">
        <v>8103</v>
      </c>
      <c r="AB30" s="105">
        <v>10330</v>
      </c>
    </row>
    <row r="31" spans="1:28" ht="16.5">
      <c r="A31" s="240" t="str">
        <f>"Net Premium Payable including GST Rupees "&amp;Num_To_Text!A19</f>
        <v>Net Premium Payable including GST Rupees Only</v>
      </c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2"/>
      <c r="M31" s="164"/>
      <c r="N31" s="165"/>
      <c r="O31" s="209"/>
      <c r="T31" s="96" t="s">
        <v>218</v>
      </c>
      <c r="U31" s="110">
        <v>800000</v>
      </c>
      <c r="V31" s="105">
        <v>5163</v>
      </c>
      <c r="W31" s="105">
        <v>5229</v>
      </c>
      <c r="X31" s="105">
        <v>7200</v>
      </c>
      <c r="Y31" s="105">
        <v>7459</v>
      </c>
      <c r="Z31" s="105">
        <v>8361</v>
      </c>
      <c r="AA31" s="105">
        <v>9065</v>
      </c>
      <c r="AB31" s="105">
        <v>11558</v>
      </c>
    </row>
    <row r="32" spans="1:28">
      <c r="A32" s="170" t="s">
        <v>97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2"/>
      <c r="M32" s="164"/>
      <c r="N32" s="165"/>
      <c r="O32" s="209"/>
      <c r="T32" s="96" t="s">
        <v>207</v>
      </c>
      <c r="U32" s="110">
        <v>1000000</v>
      </c>
      <c r="V32" s="105">
        <v>5406</v>
      </c>
      <c r="W32" s="105">
        <v>5475</v>
      </c>
      <c r="X32" s="105">
        <v>7540</v>
      </c>
      <c r="Y32" s="105">
        <v>7811</v>
      </c>
      <c r="Z32" s="105">
        <v>8755</v>
      </c>
      <c r="AA32" s="105">
        <v>9493</v>
      </c>
      <c r="AB32" s="105">
        <v>12103</v>
      </c>
    </row>
    <row r="33" spans="1:28" ht="38.25">
      <c r="A33" s="99" t="s">
        <v>210</v>
      </c>
      <c r="B33" s="135">
        <f>ROUNDUP(B30/12*F30,0)</f>
        <v>0</v>
      </c>
      <c r="C33" s="154" t="s">
        <v>211</v>
      </c>
      <c r="D33" s="154"/>
      <c r="E33" s="154"/>
      <c r="F33" s="147">
        <f>ROUNDDOWN(K25,0)/12*F30</f>
        <v>0</v>
      </c>
      <c r="G33" s="147"/>
      <c r="H33" s="169" t="s">
        <v>212</v>
      </c>
      <c r="I33" s="169"/>
      <c r="J33" s="137">
        <f>ROUND(F33*G28,0)/12*F30</f>
        <v>0</v>
      </c>
      <c r="K33" s="100" t="s">
        <v>213</v>
      </c>
      <c r="L33" s="136">
        <f>(B33+F33+J33)</f>
        <v>0</v>
      </c>
      <c r="M33" s="164"/>
      <c r="N33" s="165"/>
      <c r="O33" s="209"/>
      <c r="T33" s="96" t="s">
        <v>208</v>
      </c>
      <c r="U33" s="110">
        <v>1200000</v>
      </c>
      <c r="V33" s="105">
        <v>5786</v>
      </c>
      <c r="W33" s="105">
        <v>5861</v>
      </c>
      <c r="X33" s="105">
        <v>8071</v>
      </c>
      <c r="Y33" s="105">
        <v>8361</v>
      </c>
      <c r="Z33" s="105">
        <v>9373</v>
      </c>
      <c r="AA33" s="105">
        <v>10160</v>
      </c>
      <c r="AB33" s="105">
        <v>12955</v>
      </c>
    </row>
    <row r="34" spans="1:28" ht="9" customHeight="1">
      <c r="A34" s="139" t="str">
        <f>O28&amp;": "&amp;M28</f>
        <v>S.R.No.: 0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3" t="s">
        <v>219</v>
      </c>
      <c r="N34" s="143"/>
      <c r="O34" s="144"/>
      <c r="Q34" s="26">
        <f>IF(J4="Retiring",DATEDIF((H7),Q5,"M")-1,12)</f>
        <v>12</v>
      </c>
      <c r="T34" s="96" t="s">
        <v>209</v>
      </c>
      <c r="U34" s="110">
        <v>1500000</v>
      </c>
      <c r="V34" s="105">
        <v>6040</v>
      </c>
      <c r="W34" s="105">
        <v>6118</v>
      </c>
      <c r="X34" s="105">
        <v>8425</v>
      </c>
      <c r="Y34" s="105">
        <v>8728</v>
      </c>
      <c r="Z34" s="105">
        <v>9783</v>
      </c>
      <c r="AA34" s="105">
        <v>10606</v>
      </c>
      <c r="AB34" s="105">
        <v>13523</v>
      </c>
    </row>
    <row r="35" spans="1:28" s="44" customFormat="1" ht="9" customHeight="1">
      <c r="A35" s="141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5"/>
      <c r="N35" s="145"/>
      <c r="O35" s="146"/>
      <c r="P35" s="43"/>
      <c r="Q35" s="43"/>
      <c r="R35" s="43"/>
      <c r="S35" s="43"/>
      <c r="T35" s="96" t="s">
        <v>54</v>
      </c>
      <c r="U35" s="110">
        <v>2000000</v>
      </c>
      <c r="V35" s="105">
        <v>6421</v>
      </c>
      <c r="W35" s="105">
        <v>6504</v>
      </c>
      <c r="X35" s="105">
        <v>8956</v>
      </c>
      <c r="Y35" s="105">
        <v>9278</v>
      </c>
      <c r="Z35" s="105">
        <v>10400</v>
      </c>
      <c r="AA35" s="105">
        <v>11275</v>
      </c>
      <c r="AB35" s="105">
        <v>14375</v>
      </c>
    </row>
    <row r="36" spans="1:28" ht="9" customHeight="1">
      <c r="A36" s="197" t="s">
        <v>206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9"/>
      <c r="T36" s="96" t="s">
        <v>55</v>
      </c>
      <c r="U36" s="110">
        <v>2500000</v>
      </c>
      <c r="V36" s="105">
        <v>6983</v>
      </c>
      <c r="W36" s="105">
        <v>7073</v>
      </c>
      <c r="X36" s="105">
        <v>9851</v>
      </c>
      <c r="Y36" s="105">
        <v>10205</v>
      </c>
      <c r="Z36" s="105">
        <v>11570</v>
      </c>
      <c r="AA36" s="105">
        <v>12544</v>
      </c>
      <c r="AB36" s="105">
        <v>15993</v>
      </c>
    </row>
    <row r="37" spans="1:28" ht="9" customHeight="1" thickBot="1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2"/>
      <c r="T37" s="96" t="s">
        <v>56</v>
      </c>
      <c r="U37" s="110">
        <v>3000000</v>
      </c>
      <c r="V37" s="105">
        <v>7478</v>
      </c>
      <c r="W37" s="105">
        <v>7574</v>
      </c>
      <c r="X37" s="105">
        <v>10640</v>
      </c>
      <c r="Y37" s="105">
        <v>11021</v>
      </c>
      <c r="Z37" s="105">
        <v>12599</v>
      </c>
      <c r="AA37" s="105">
        <v>13660</v>
      </c>
      <c r="AB37" s="105">
        <v>17416</v>
      </c>
    </row>
    <row r="38" spans="1:28" ht="16.5" customHeight="1" thickTop="1">
      <c r="A38" s="124" t="s">
        <v>223</v>
      </c>
      <c r="M38" s="45"/>
      <c r="N38" s="45"/>
      <c r="O38" s="45"/>
      <c r="T38" s="96" t="s">
        <v>57</v>
      </c>
      <c r="U38" s="110">
        <v>3500000</v>
      </c>
      <c r="V38" s="105">
        <v>7881</v>
      </c>
      <c r="W38" s="105">
        <v>7984</v>
      </c>
      <c r="X38" s="105">
        <v>11285</v>
      </c>
      <c r="Y38" s="105">
        <v>11690</v>
      </c>
      <c r="Z38" s="105">
        <v>13441</v>
      </c>
      <c r="AA38" s="105">
        <v>14573</v>
      </c>
      <c r="AB38" s="105">
        <v>18580</v>
      </c>
    </row>
    <row r="39" spans="1:28" hidden="1">
      <c r="M39" s="45"/>
      <c r="N39" s="45"/>
      <c r="O39" s="45"/>
      <c r="T39" s="96" t="s">
        <v>58</v>
      </c>
      <c r="U39" s="110">
        <v>4000000</v>
      </c>
      <c r="V39" s="105">
        <v>8219</v>
      </c>
      <c r="W39" s="105">
        <v>8325</v>
      </c>
      <c r="X39" s="105">
        <v>11823</v>
      </c>
      <c r="Y39" s="105">
        <v>12246</v>
      </c>
      <c r="Z39" s="105">
        <v>14144</v>
      </c>
      <c r="AA39" s="105">
        <v>15334</v>
      </c>
      <c r="AB39" s="105">
        <v>19551</v>
      </c>
    </row>
    <row r="40" spans="1:28" hidden="1">
      <c r="M40" s="45"/>
      <c r="N40" s="45"/>
      <c r="O40" s="45"/>
      <c r="T40" s="96" t="s">
        <v>59</v>
      </c>
      <c r="U40" s="110">
        <v>5000000</v>
      </c>
      <c r="V40" s="105">
        <v>8669</v>
      </c>
      <c r="W40" s="105">
        <v>8780</v>
      </c>
      <c r="X40" s="105">
        <v>12539</v>
      </c>
      <c r="Y40" s="105">
        <v>12989</v>
      </c>
      <c r="Z40" s="105">
        <v>15079</v>
      </c>
      <c r="AA40" s="105">
        <v>16349</v>
      </c>
      <c r="AB40" s="105">
        <v>20845</v>
      </c>
    </row>
    <row r="41" spans="1:28" hidden="1">
      <c r="M41" s="45"/>
      <c r="N41" s="45"/>
      <c r="O41" s="45"/>
      <c r="T41" s="40"/>
      <c r="U41" s="29"/>
      <c r="V41" s="30"/>
      <c r="W41" s="30"/>
      <c r="X41" s="30"/>
      <c r="Y41" s="30"/>
      <c r="Z41" s="30"/>
      <c r="AA41" s="30"/>
      <c r="AB41" s="30"/>
    </row>
    <row r="42" spans="1:28" hidden="1">
      <c r="M42" s="45"/>
      <c r="N42" s="45"/>
      <c r="O42" s="45"/>
      <c r="T42" s="40"/>
      <c r="U42" s="27"/>
      <c r="V42" s="30"/>
      <c r="W42" s="30"/>
      <c r="X42" s="30"/>
      <c r="Y42" s="30"/>
      <c r="Z42" s="30"/>
      <c r="AA42" s="30"/>
      <c r="AB42" s="30"/>
    </row>
    <row r="43" spans="1:28" hidden="1">
      <c r="M43" s="45"/>
      <c r="N43" s="45"/>
      <c r="O43" s="45"/>
      <c r="U43" s="27"/>
      <c r="V43" s="30"/>
      <c r="W43" s="30"/>
      <c r="X43" s="30"/>
      <c r="Y43" s="30"/>
      <c r="Z43" s="30"/>
      <c r="AA43" s="30"/>
      <c r="AB43" s="30"/>
    </row>
    <row r="44" spans="1:28" hidden="1">
      <c r="U44" s="46"/>
      <c r="V44" s="38"/>
      <c r="W44" s="38"/>
      <c r="X44" s="38"/>
      <c r="Y44" s="38"/>
      <c r="Z44" s="38"/>
      <c r="AA44" s="38"/>
      <c r="AB44" s="38"/>
    </row>
    <row r="45" spans="1:28" hidden="1">
      <c r="T45" s="25"/>
      <c r="U45" s="121" t="s">
        <v>220</v>
      </c>
      <c r="V45" s="122"/>
      <c r="W45" s="123"/>
      <c r="X45" s="25"/>
      <c r="Y45" s="25"/>
      <c r="Z45" s="25"/>
      <c r="AA45" s="25"/>
      <c r="AB45" s="25"/>
    </row>
    <row r="46" spans="1:28" hidden="1">
      <c r="T46" s="25"/>
      <c r="U46" s="111" t="s">
        <v>7</v>
      </c>
      <c r="V46" s="109" t="s">
        <v>8</v>
      </c>
      <c r="W46" s="109" t="s">
        <v>9</v>
      </c>
      <c r="X46" s="109" t="s">
        <v>10</v>
      </c>
      <c r="Y46" s="109" t="s">
        <v>11</v>
      </c>
      <c r="Z46" s="109" t="s">
        <v>12</v>
      </c>
      <c r="AA46" s="109" t="s">
        <v>13</v>
      </c>
      <c r="AB46" s="109" t="s">
        <v>14</v>
      </c>
    </row>
    <row r="47" spans="1:28" hidden="1">
      <c r="T47" s="25"/>
      <c r="U47" s="110">
        <v>300000</v>
      </c>
      <c r="V47" s="105">
        <v>1549</v>
      </c>
      <c r="W47" s="105">
        <v>1618</v>
      </c>
      <c r="X47" s="105">
        <v>2204</v>
      </c>
      <c r="Y47" s="105">
        <v>2275</v>
      </c>
      <c r="Z47" s="105">
        <v>2545</v>
      </c>
      <c r="AA47" s="105">
        <v>2728</v>
      </c>
      <c r="AB47" s="105">
        <v>3385</v>
      </c>
    </row>
    <row r="48" spans="1:28" hidden="1">
      <c r="T48" s="25"/>
      <c r="U48" s="110">
        <v>400000</v>
      </c>
      <c r="V48" s="105">
        <v>2104</v>
      </c>
      <c r="W48" s="105">
        <v>2193</v>
      </c>
      <c r="X48" s="105">
        <v>3001</v>
      </c>
      <c r="Y48" s="105">
        <v>3105</v>
      </c>
      <c r="Z48" s="105">
        <v>3474</v>
      </c>
      <c r="AA48" s="105">
        <v>3723</v>
      </c>
      <c r="AB48" s="105">
        <v>4606</v>
      </c>
    </row>
    <row r="49" spans="20:28" hidden="1">
      <c r="T49" s="25"/>
      <c r="U49" s="110">
        <v>500000</v>
      </c>
      <c r="V49" s="105">
        <v>2618</v>
      </c>
      <c r="W49" s="105">
        <v>2651</v>
      </c>
      <c r="X49" s="105">
        <v>3651</v>
      </c>
      <c r="Y49" s="105">
        <v>3781</v>
      </c>
      <c r="Z49" s="105">
        <v>4239</v>
      </c>
      <c r="AA49" s="105">
        <v>4596</v>
      </c>
      <c r="AB49" s="105">
        <v>5860</v>
      </c>
    </row>
    <row r="50" spans="20:28" hidden="1">
      <c r="T50" s="25"/>
      <c r="U50" s="110">
        <v>600000</v>
      </c>
      <c r="V50" s="105">
        <v>2884</v>
      </c>
      <c r="W50" s="105">
        <v>2921</v>
      </c>
      <c r="X50" s="105">
        <v>4023</v>
      </c>
      <c r="Y50" s="105">
        <v>4166</v>
      </c>
      <c r="Z50" s="105">
        <v>4671</v>
      </c>
      <c r="AA50" s="105">
        <v>5064</v>
      </c>
      <c r="AB50" s="105">
        <v>6456</v>
      </c>
    </row>
    <row r="51" spans="20:28" ht="32.25" hidden="1" customHeight="1">
      <c r="T51" s="25"/>
      <c r="U51" s="110">
        <v>800000</v>
      </c>
      <c r="V51" s="105">
        <v>3226</v>
      </c>
      <c r="W51" s="105">
        <v>3268</v>
      </c>
      <c r="X51" s="105">
        <v>4500</v>
      </c>
      <c r="Y51" s="105">
        <v>4663</v>
      </c>
      <c r="Z51" s="105">
        <v>5226</v>
      </c>
      <c r="AA51" s="105">
        <v>5665</v>
      </c>
      <c r="AB51" s="105">
        <v>7224</v>
      </c>
    </row>
    <row r="52" spans="20:28" hidden="1">
      <c r="T52" s="25"/>
      <c r="U52" s="110">
        <v>1000000</v>
      </c>
      <c r="V52" s="105">
        <v>3379</v>
      </c>
      <c r="W52" s="105">
        <v>3423</v>
      </c>
      <c r="X52" s="105">
        <v>4713</v>
      </c>
      <c r="Y52" s="105">
        <v>4883</v>
      </c>
      <c r="Z52" s="105">
        <v>5473</v>
      </c>
      <c r="AA52" s="105">
        <v>5933</v>
      </c>
      <c r="AB52" s="105">
        <v>7565</v>
      </c>
    </row>
    <row r="53" spans="20:28" ht="36" hidden="1" customHeight="1">
      <c r="T53" s="48"/>
      <c r="U53" s="110">
        <v>1200000</v>
      </c>
      <c r="V53" s="105">
        <v>3616</v>
      </c>
      <c r="W53" s="105">
        <v>3664</v>
      </c>
      <c r="X53" s="105">
        <v>5045</v>
      </c>
      <c r="Y53" s="105">
        <v>5226</v>
      </c>
      <c r="Z53" s="105">
        <v>5858</v>
      </c>
      <c r="AA53" s="105">
        <v>6350</v>
      </c>
      <c r="AB53" s="105">
        <v>8098</v>
      </c>
    </row>
    <row r="54" spans="20:28" hidden="1">
      <c r="T54" s="49"/>
      <c r="U54" s="110">
        <v>1500000</v>
      </c>
      <c r="V54" s="105">
        <v>3775</v>
      </c>
      <c r="W54" s="105">
        <v>3824</v>
      </c>
      <c r="X54" s="105">
        <v>5266</v>
      </c>
      <c r="Y54" s="105">
        <v>5455</v>
      </c>
      <c r="Z54" s="105">
        <v>6115</v>
      </c>
      <c r="AA54" s="105">
        <v>6629</v>
      </c>
      <c r="AB54" s="105">
        <v>8453</v>
      </c>
    </row>
    <row r="55" spans="20:28" hidden="1">
      <c r="T55" s="49"/>
      <c r="U55" s="110">
        <v>2000000</v>
      </c>
      <c r="V55" s="105">
        <v>4014</v>
      </c>
      <c r="W55" s="105">
        <v>4065</v>
      </c>
      <c r="X55" s="105">
        <v>5598</v>
      </c>
      <c r="Y55" s="105">
        <v>5799</v>
      </c>
      <c r="Z55" s="105">
        <v>6500</v>
      </c>
      <c r="AA55" s="105">
        <v>7048</v>
      </c>
      <c r="AB55" s="105">
        <v>8985</v>
      </c>
    </row>
    <row r="56" spans="20:28" hidden="1">
      <c r="T56" s="48"/>
      <c r="U56" s="110">
        <v>2500000</v>
      </c>
      <c r="V56" s="105">
        <v>4364</v>
      </c>
      <c r="W56" s="105">
        <v>4421</v>
      </c>
      <c r="X56" s="105">
        <v>6158</v>
      </c>
      <c r="Y56" s="105">
        <v>6379</v>
      </c>
      <c r="Z56" s="105">
        <v>7231</v>
      </c>
      <c r="AA56" s="105">
        <v>7840</v>
      </c>
      <c r="AB56" s="105">
        <v>9995</v>
      </c>
    </row>
    <row r="57" spans="20:28" hidden="1">
      <c r="U57" s="110">
        <v>3000000</v>
      </c>
      <c r="V57" s="105">
        <v>4674</v>
      </c>
      <c r="W57" s="105">
        <v>4734</v>
      </c>
      <c r="X57" s="105">
        <v>6650</v>
      </c>
      <c r="Y57" s="105">
        <v>6889</v>
      </c>
      <c r="Z57" s="105">
        <v>7874</v>
      </c>
      <c r="AA57" s="105">
        <v>8538</v>
      </c>
      <c r="AB57" s="105">
        <v>10885</v>
      </c>
    </row>
    <row r="58" spans="20:28" hidden="1">
      <c r="U58" s="110">
        <v>3500000</v>
      </c>
      <c r="V58" s="105">
        <v>4926</v>
      </c>
      <c r="W58" s="105">
        <v>4990</v>
      </c>
      <c r="X58" s="105">
        <v>7053</v>
      </c>
      <c r="Y58" s="105">
        <v>7306</v>
      </c>
      <c r="Z58" s="105">
        <v>8401</v>
      </c>
      <c r="AA58" s="105">
        <v>9108</v>
      </c>
      <c r="AB58" s="105">
        <v>11613</v>
      </c>
    </row>
    <row r="59" spans="20:28" hidden="1">
      <c r="U59" s="110">
        <v>4000000</v>
      </c>
      <c r="V59" s="105">
        <v>5136</v>
      </c>
      <c r="W59" s="105">
        <v>5204</v>
      </c>
      <c r="X59" s="105">
        <v>7389</v>
      </c>
      <c r="Y59" s="105">
        <v>7654</v>
      </c>
      <c r="Z59" s="105">
        <v>8840</v>
      </c>
      <c r="AA59" s="105">
        <v>9584</v>
      </c>
      <c r="AB59" s="105">
        <v>12219</v>
      </c>
    </row>
    <row r="60" spans="20:28" hidden="1">
      <c r="U60" s="110">
        <v>5000000</v>
      </c>
      <c r="V60" s="105">
        <v>5418</v>
      </c>
      <c r="W60" s="105">
        <v>5488</v>
      </c>
      <c r="X60" s="105">
        <v>7836</v>
      </c>
      <c r="Y60" s="105">
        <v>8118</v>
      </c>
      <c r="Z60" s="105">
        <v>9425</v>
      </c>
      <c r="AA60" s="105">
        <v>10218</v>
      </c>
      <c r="AB60" s="105">
        <v>13028</v>
      </c>
    </row>
    <row r="61" spans="20:28" hidden="1">
      <c r="U61" s="27"/>
      <c r="V61" s="30"/>
      <c r="W61" s="30"/>
      <c r="X61" s="30"/>
      <c r="Y61" s="30"/>
      <c r="Z61" s="30"/>
      <c r="AA61" s="30"/>
      <c r="AB61" s="30"/>
    </row>
    <row r="62" spans="20:28" ht="40.5" hidden="1" customHeight="1">
      <c r="U62" s="50"/>
      <c r="V62" s="51"/>
      <c r="W62" s="51"/>
      <c r="X62" s="51"/>
      <c r="Y62" s="51"/>
      <c r="Z62" s="51"/>
      <c r="AA62" s="51"/>
      <c r="AB62" s="51"/>
    </row>
    <row r="63" spans="20:28" hidden="1">
      <c r="U63" s="52" t="s">
        <v>60</v>
      </c>
      <c r="V63" s="53"/>
      <c r="W63" s="53"/>
      <c r="X63" s="49"/>
      <c r="Y63" s="49"/>
      <c r="Z63" s="49"/>
      <c r="AA63" s="49"/>
      <c r="AB63" s="49"/>
    </row>
    <row r="64" spans="20:28" hidden="1">
      <c r="U64" s="111" t="s">
        <v>7</v>
      </c>
      <c r="V64" s="109" t="s">
        <v>8</v>
      </c>
      <c r="W64" s="109" t="s">
        <v>9</v>
      </c>
      <c r="X64" s="109" t="s">
        <v>10</v>
      </c>
      <c r="Y64" s="109" t="s">
        <v>11</v>
      </c>
      <c r="Z64" s="109" t="s">
        <v>12</v>
      </c>
      <c r="AA64" s="109" t="s">
        <v>13</v>
      </c>
      <c r="AB64" s="109" t="s">
        <v>14</v>
      </c>
    </row>
    <row r="65" spans="21:28" hidden="1">
      <c r="U65" s="110">
        <v>300000</v>
      </c>
      <c r="V65" s="105">
        <v>4848</v>
      </c>
      <c r="W65" s="105">
        <v>4848</v>
      </c>
      <c r="X65" s="105">
        <v>4848</v>
      </c>
      <c r="Y65" s="105">
        <v>5006</v>
      </c>
      <c r="Z65" s="105">
        <v>5598</v>
      </c>
      <c r="AA65" s="105">
        <v>6000</v>
      </c>
      <c r="AB65" s="105">
        <v>7446</v>
      </c>
    </row>
    <row r="66" spans="21:28" hidden="1">
      <c r="U66" s="110">
        <v>400000</v>
      </c>
      <c r="V66" s="105">
        <v>6603</v>
      </c>
      <c r="W66" s="105">
        <v>6603</v>
      </c>
      <c r="X66" s="105">
        <v>6603</v>
      </c>
      <c r="Y66" s="105">
        <v>6831</v>
      </c>
      <c r="Z66" s="105">
        <v>7643</v>
      </c>
      <c r="AA66" s="105">
        <v>8190</v>
      </c>
      <c r="AB66" s="105">
        <v>10135</v>
      </c>
    </row>
    <row r="67" spans="21:28" hidden="1">
      <c r="U67" s="110">
        <v>500000</v>
      </c>
      <c r="V67" s="105">
        <v>8031</v>
      </c>
      <c r="W67" s="105">
        <v>8031</v>
      </c>
      <c r="X67" s="105">
        <v>8031</v>
      </c>
      <c r="Y67" s="105">
        <v>8320</v>
      </c>
      <c r="Z67" s="105">
        <v>9326</v>
      </c>
      <c r="AA67" s="105">
        <v>10110</v>
      </c>
      <c r="AB67" s="105">
        <v>12891</v>
      </c>
    </row>
    <row r="68" spans="21:28" hidden="1">
      <c r="U68" s="110">
        <v>600000</v>
      </c>
      <c r="V68" s="105">
        <v>8849</v>
      </c>
      <c r="W68" s="105">
        <v>8849</v>
      </c>
      <c r="X68" s="105">
        <v>8849</v>
      </c>
      <c r="Y68" s="105">
        <v>9166</v>
      </c>
      <c r="Z68" s="105">
        <v>10275</v>
      </c>
      <c r="AA68" s="105">
        <v>11140</v>
      </c>
      <c r="AB68" s="105">
        <v>14204</v>
      </c>
    </row>
    <row r="69" spans="21:28" hidden="1">
      <c r="U69" s="110">
        <v>800000</v>
      </c>
      <c r="V69" s="105">
        <v>9900</v>
      </c>
      <c r="W69" s="105">
        <v>9900</v>
      </c>
      <c r="X69" s="105">
        <v>9900</v>
      </c>
      <c r="Y69" s="105">
        <v>10256</v>
      </c>
      <c r="Z69" s="105">
        <v>11496</v>
      </c>
      <c r="AA69" s="105">
        <v>12464</v>
      </c>
      <c r="AB69" s="105">
        <v>15891</v>
      </c>
    </row>
    <row r="70" spans="21:28" hidden="1">
      <c r="U70" s="110">
        <v>1000000</v>
      </c>
      <c r="V70" s="105">
        <v>10368</v>
      </c>
      <c r="W70" s="105">
        <v>10368</v>
      </c>
      <c r="X70" s="105">
        <v>10368</v>
      </c>
      <c r="Y70" s="105">
        <v>10740</v>
      </c>
      <c r="Z70" s="105">
        <v>12039</v>
      </c>
      <c r="AA70" s="105">
        <v>13053</v>
      </c>
      <c r="AB70" s="105">
        <v>16641</v>
      </c>
    </row>
    <row r="71" spans="21:28" hidden="1">
      <c r="U71" s="110">
        <v>1200000</v>
      </c>
      <c r="V71" s="105">
        <v>11098</v>
      </c>
      <c r="W71" s="105">
        <v>11098</v>
      </c>
      <c r="X71" s="105">
        <v>11098</v>
      </c>
      <c r="Y71" s="105">
        <v>11496</v>
      </c>
      <c r="Z71" s="105">
        <v>12886</v>
      </c>
      <c r="AA71" s="105">
        <v>13971</v>
      </c>
      <c r="AB71" s="105">
        <v>17814</v>
      </c>
    </row>
    <row r="72" spans="21:28" hidden="1">
      <c r="U72" s="110">
        <v>1500000</v>
      </c>
      <c r="V72" s="105">
        <v>11585</v>
      </c>
      <c r="W72" s="105">
        <v>11585</v>
      </c>
      <c r="X72" s="105">
        <v>11585</v>
      </c>
      <c r="Y72" s="105">
        <v>12001</v>
      </c>
      <c r="Z72" s="105">
        <v>13451</v>
      </c>
      <c r="AA72" s="105">
        <v>14584</v>
      </c>
      <c r="AB72" s="105">
        <v>18594</v>
      </c>
    </row>
    <row r="73" spans="21:28" hidden="1">
      <c r="U73" s="110">
        <v>2000000</v>
      </c>
      <c r="V73" s="105">
        <v>12315</v>
      </c>
      <c r="W73" s="105">
        <v>12315</v>
      </c>
      <c r="X73" s="105">
        <v>12315</v>
      </c>
      <c r="Y73" s="105">
        <v>12756</v>
      </c>
      <c r="Z73" s="105">
        <v>14299</v>
      </c>
      <c r="AA73" s="105">
        <v>15504</v>
      </c>
      <c r="AB73" s="105">
        <v>19766</v>
      </c>
    </row>
    <row r="74" spans="21:28" hidden="1">
      <c r="U74" s="110">
        <v>2500000</v>
      </c>
      <c r="V74" s="111">
        <v>13546</v>
      </c>
      <c r="W74" s="111">
        <v>13546</v>
      </c>
      <c r="X74" s="111">
        <v>13546</v>
      </c>
      <c r="Y74" s="111">
        <v>14033</v>
      </c>
      <c r="Z74" s="111">
        <v>15908</v>
      </c>
      <c r="AA74" s="111">
        <v>17248</v>
      </c>
      <c r="AB74" s="111">
        <v>21990</v>
      </c>
    </row>
    <row r="75" spans="21:28" hidden="1">
      <c r="U75" s="110">
        <v>3000000</v>
      </c>
      <c r="V75" s="111">
        <v>14630</v>
      </c>
      <c r="W75" s="111">
        <v>14630</v>
      </c>
      <c r="X75" s="111">
        <v>14630</v>
      </c>
      <c r="Y75" s="111">
        <v>15155</v>
      </c>
      <c r="Z75" s="111">
        <v>17324</v>
      </c>
      <c r="AA75" s="111">
        <v>18783</v>
      </c>
      <c r="AB75" s="111">
        <v>23948</v>
      </c>
    </row>
    <row r="76" spans="21:28" hidden="1">
      <c r="U76" s="110">
        <v>3500000</v>
      </c>
      <c r="V76" s="111">
        <v>15516</v>
      </c>
      <c r="W76" s="111">
        <v>15516</v>
      </c>
      <c r="X76" s="111">
        <v>15516</v>
      </c>
      <c r="Y76" s="111">
        <v>16074</v>
      </c>
      <c r="Z76" s="111">
        <v>18481</v>
      </c>
      <c r="AA76" s="111">
        <v>20038</v>
      </c>
      <c r="AB76" s="111">
        <v>25548</v>
      </c>
    </row>
    <row r="77" spans="21:28" hidden="1">
      <c r="U77" s="110">
        <v>4000000</v>
      </c>
      <c r="V77" s="111">
        <v>16255</v>
      </c>
      <c r="W77" s="111">
        <v>16255</v>
      </c>
      <c r="X77" s="111">
        <v>16255</v>
      </c>
      <c r="Y77" s="111">
        <v>16839</v>
      </c>
      <c r="Z77" s="111">
        <v>19448</v>
      </c>
      <c r="AA77" s="111">
        <v>21084</v>
      </c>
      <c r="AB77" s="111">
        <v>26883</v>
      </c>
    </row>
    <row r="78" spans="21:28" hidden="1">
      <c r="U78" s="110">
        <v>5000000</v>
      </c>
      <c r="V78" s="111">
        <v>17240</v>
      </c>
      <c r="W78" s="111">
        <v>17240</v>
      </c>
      <c r="X78" s="111">
        <v>17240</v>
      </c>
      <c r="Y78" s="111">
        <v>17859</v>
      </c>
      <c r="Z78" s="111">
        <v>20734</v>
      </c>
      <c r="AA78" s="111">
        <v>22480</v>
      </c>
      <c r="AB78" s="111">
        <v>28661</v>
      </c>
    </row>
    <row r="79" spans="21:28" hidden="1"/>
    <row r="80" spans="21:28" hidden="1">
      <c r="U80" s="54"/>
      <c r="V80" s="54"/>
      <c r="W80" s="54"/>
    </row>
    <row r="81" spans="21:28" hidden="1">
      <c r="U81" s="121" t="s">
        <v>221</v>
      </c>
      <c r="V81" s="122"/>
      <c r="W81" s="123"/>
      <c r="X81" s="123"/>
      <c r="Y81" s="25"/>
      <c r="Z81" s="25"/>
      <c r="AA81" s="25"/>
      <c r="AB81" s="25"/>
    </row>
    <row r="82" spans="21:28" hidden="1">
      <c r="U82" s="26" t="s">
        <v>7</v>
      </c>
      <c r="V82" s="27" t="s">
        <v>8</v>
      </c>
      <c r="W82" s="27" t="s">
        <v>9</v>
      </c>
      <c r="X82" s="27" t="s">
        <v>10</v>
      </c>
      <c r="Y82" s="27" t="s">
        <v>11</v>
      </c>
      <c r="Z82" s="27" t="s">
        <v>12</v>
      </c>
      <c r="AA82" s="27" t="s">
        <v>13</v>
      </c>
      <c r="AB82" s="27" t="s">
        <v>14</v>
      </c>
    </row>
    <row r="83" spans="21:28" hidden="1">
      <c r="U83" s="26">
        <v>300000</v>
      </c>
      <c r="V83" s="30">
        <v>1831</v>
      </c>
      <c r="W83" s="30">
        <v>1912</v>
      </c>
      <c r="X83" s="30">
        <v>2605</v>
      </c>
      <c r="Y83" s="30">
        <v>2689</v>
      </c>
      <c r="Z83" s="30">
        <v>3008</v>
      </c>
      <c r="AA83" s="30">
        <v>3224</v>
      </c>
      <c r="AB83" s="30">
        <v>4001</v>
      </c>
    </row>
    <row r="84" spans="21:28" hidden="1">
      <c r="U84" s="26">
        <v>400000</v>
      </c>
      <c r="V84" s="30">
        <v>2487</v>
      </c>
      <c r="W84" s="30">
        <v>2592</v>
      </c>
      <c r="X84" s="30">
        <v>3547</v>
      </c>
      <c r="Y84" s="30">
        <v>3670</v>
      </c>
      <c r="Z84" s="30">
        <v>4106</v>
      </c>
      <c r="AA84" s="30">
        <v>4400</v>
      </c>
      <c r="AB84" s="30">
        <v>5445</v>
      </c>
    </row>
    <row r="85" spans="21:28" hidden="1">
      <c r="U85" s="26">
        <v>500000</v>
      </c>
      <c r="V85" s="30">
        <v>3094</v>
      </c>
      <c r="W85" s="30">
        <v>3134</v>
      </c>
      <c r="X85" s="30">
        <v>4316</v>
      </c>
      <c r="Y85" s="30">
        <v>4469</v>
      </c>
      <c r="Z85" s="30">
        <v>5010</v>
      </c>
      <c r="AA85" s="30">
        <v>5433</v>
      </c>
      <c r="AB85" s="30">
        <v>6927</v>
      </c>
    </row>
    <row r="86" spans="21:28" hidden="1">
      <c r="U86" s="26">
        <v>600000</v>
      </c>
      <c r="V86" s="30">
        <v>3409</v>
      </c>
      <c r="W86" s="30">
        <v>3453</v>
      </c>
      <c r="X86" s="30">
        <v>4755</v>
      </c>
      <c r="Y86" s="30">
        <v>4925</v>
      </c>
      <c r="Z86" s="30">
        <v>5521</v>
      </c>
      <c r="AA86" s="30">
        <v>5985</v>
      </c>
      <c r="AB86" s="30">
        <v>7631</v>
      </c>
    </row>
    <row r="87" spans="21:28" hidden="1">
      <c r="U87" s="26">
        <v>800000</v>
      </c>
      <c r="V87" s="30">
        <v>3813</v>
      </c>
      <c r="W87" s="30">
        <v>3862</v>
      </c>
      <c r="X87" s="30">
        <v>5319</v>
      </c>
      <c r="Y87" s="30">
        <v>5511</v>
      </c>
      <c r="Z87" s="30">
        <v>6177</v>
      </c>
      <c r="AA87" s="30">
        <v>6696</v>
      </c>
      <c r="AB87" s="30">
        <v>8538</v>
      </c>
    </row>
    <row r="88" spans="21:28" hidden="1">
      <c r="U88" s="26">
        <v>1000000</v>
      </c>
      <c r="V88" s="30">
        <v>3994</v>
      </c>
      <c r="W88" s="30">
        <v>4045</v>
      </c>
      <c r="X88" s="30">
        <v>5570</v>
      </c>
      <c r="Y88" s="30">
        <v>5771</v>
      </c>
      <c r="Z88" s="30">
        <v>6468</v>
      </c>
      <c r="AA88" s="30">
        <v>7012</v>
      </c>
      <c r="AB88" s="30">
        <v>8942</v>
      </c>
    </row>
    <row r="89" spans="21:28" hidden="1">
      <c r="U89" s="26">
        <v>1200000</v>
      </c>
      <c r="V89" s="30">
        <v>4274</v>
      </c>
      <c r="W89" s="30">
        <v>4331</v>
      </c>
      <c r="X89" s="30">
        <v>5963</v>
      </c>
      <c r="Y89" s="30">
        <v>6177</v>
      </c>
      <c r="Z89" s="30">
        <v>6924</v>
      </c>
      <c r="AA89" s="30">
        <v>7506</v>
      </c>
      <c r="AB89" s="30">
        <v>9571</v>
      </c>
    </row>
    <row r="90" spans="21:28" hidden="1">
      <c r="U90" s="26">
        <v>1500000</v>
      </c>
      <c r="V90" s="30">
        <v>4462</v>
      </c>
      <c r="W90" s="30">
        <v>4520</v>
      </c>
      <c r="X90" s="30">
        <v>6225</v>
      </c>
      <c r="Y90" s="30">
        <v>6448</v>
      </c>
      <c r="Z90" s="30">
        <v>7228</v>
      </c>
      <c r="AA90" s="30">
        <v>7835</v>
      </c>
      <c r="AB90" s="30">
        <v>9991</v>
      </c>
    </row>
    <row r="91" spans="21:28" hidden="1">
      <c r="U91" s="26">
        <v>2000000</v>
      </c>
      <c r="V91" s="30">
        <v>4744</v>
      </c>
      <c r="W91" s="30">
        <v>4805</v>
      </c>
      <c r="X91" s="30">
        <v>6616</v>
      </c>
      <c r="Y91" s="30">
        <v>6854</v>
      </c>
      <c r="Z91" s="30">
        <v>7683</v>
      </c>
      <c r="AA91" s="30">
        <v>8330</v>
      </c>
      <c r="AB91" s="30">
        <v>10620</v>
      </c>
    </row>
    <row r="92" spans="21:28" hidden="1">
      <c r="U92" s="26">
        <v>2500000</v>
      </c>
      <c r="V92" s="30">
        <v>5158</v>
      </c>
      <c r="W92" s="30">
        <v>5226</v>
      </c>
      <c r="X92" s="30">
        <v>7278</v>
      </c>
      <c r="Y92" s="30">
        <v>7540</v>
      </c>
      <c r="Z92" s="30">
        <v>8547</v>
      </c>
      <c r="AA92" s="30">
        <v>9267</v>
      </c>
      <c r="AB92" s="30">
        <v>11814</v>
      </c>
    </row>
    <row r="93" spans="21:28" hidden="1">
      <c r="U93" s="26">
        <v>3000000</v>
      </c>
      <c r="V93" s="30">
        <v>5524</v>
      </c>
      <c r="W93" s="30">
        <v>5595</v>
      </c>
      <c r="X93" s="30">
        <v>7860</v>
      </c>
      <c r="Y93" s="30">
        <v>8143</v>
      </c>
      <c r="Z93" s="30">
        <v>9307</v>
      </c>
      <c r="AA93" s="30">
        <v>10091</v>
      </c>
      <c r="AB93" s="30">
        <v>12866</v>
      </c>
    </row>
    <row r="94" spans="21:28" hidden="1">
      <c r="U94" s="26">
        <v>3500000</v>
      </c>
      <c r="V94" s="30">
        <v>5823</v>
      </c>
      <c r="W94" s="30">
        <v>5898</v>
      </c>
      <c r="X94" s="30">
        <v>8336</v>
      </c>
      <c r="Y94" s="30">
        <v>8636</v>
      </c>
      <c r="Z94" s="30">
        <v>9930</v>
      </c>
      <c r="AA94" s="30">
        <v>10765</v>
      </c>
      <c r="AB94" s="30">
        <v>13726</v>
      </c>
    </row>
    <row r="95" spans="21:28" hidden="1">
      <c r="U95" s="26">
        <v>4000000</v>
      </c>
      <c r="V95" s="30">
        <v>6071</v>
      </c>
      <c r="W95" s="30">
        <v>6151</v>
      </c>
      <c r="X95" s="30">
        <v>8734</v>
      </c>
      <c r="Y95" s="30">
        <v>9047</v>
      </c>
      <c r="Z95" s="30">
        <v>10449</v>
      </c>
      <c r="AA95" s="30">
        <v>11328</v>
      </c>
      <c r="AB95" s="30">
        <v>14443</v>
      </c>
    </row>
    <row r="96" spans="21:28" hidden="1">
      <c r="U96" s="26">
        <v>5000000</v>
      </c>
      <c r="V96" s="30">
        <v>6403</v>
      </c>
      <c r="W96" s="30">
        <v>6486</v>
      </c>
      <c r="X96" s="30">
        <v>9262</v>
      </c>
      <c r="Y96" s="30">
        <v>9595</v>
      </c>
      <c r="Z96" s="30">
        <v>11140</v>
      </c>
      <c r="AA96" s="30">
        <v>12077</v>
      </c>
      <c r="AB96" s="30">
        <v>15399</v>
      </c>
    </row>
  </sheetData>
  <sheetProtection sheet="1" objects="1" scenarios="1" selectLockedCells="1"/>
  <mergeCells count="44">
    <mergeCell ref="A1:O1"/>
    <mergeCell ref="A2:O2"/>
    <mergeCell ref="A3:O3"/>
    <mergeCell ref="B4:E4"/>
    <mergeCell ref="F4:G4"/>
    <mergeCell ref="M4:O4"/>
    <mergeCell ref="A36:O37"/>
    <mergeCell ref="U4:U5"/>
    <mergeCell ref="M24:O24"/>
    <mergeCell ref="J27:K27"/>
    <mergeCell ref="O28:O33"/>
    <mergeCell ref="M12:O23"/>
    <mergeCell ref="M5:O8"/>
    <mergeCell ref="A7:B8"/>
    <mergeCell ref="I7:J8"/>
    <mergeCell ref="F7:G8"/>
    <mergeCell ref="L7:L8"/>
    <mergeCell ref="A31:L31"/>
    <mergeCell ref="M10:O10"/>
    <mergeCell ref="A5:L5"/>
    <mergeCell ref="C7:E8"/>
    <mergeCell ref="D6:G6"/>
    <mergeCell ref="H6:I6"/>
    <mergeCell ref="G30:H30"/>
    <mergeCell ref="D9:F9"/>
    <mergeCell ref="G9:L9"/>
    <mergeCell ref="I30:K30"/>
    <mergeCell ref="C27:F27"/>
    <mergeCell ref="C28:F28"/>
    <mergeCell ref="C29:F29"/>
    <mergeCell ref="H7:H8"/>
    <mergeCell ref="K7:K8"/>
    <mergeCell ref="M9:O9"/>
    <mergeCell ref="M11:O11"/>
    <mergeCell ref="M28:N33"/>
    <mergeCell ref="M25:O27"/>
    <mergeCell ref="H33:I33"/>
    <mergeCell ref="A32:L32"/>
    <mergeCell ref="A34:L35"/>
    <mergeCell ref="M34:O35"/>
    <mergeCell ref="F33:G33"/>
    <mergeCell ref="J28:L29"/>
    <mergeCell ref="C33:E33"/>
    <mergeCell ref="C30:E30"/>
  </mergeCells>
  <conditionalFormatting sqref="J28">
    <cfRule type="expression" dxfId="0" priority="1" stopIfTrue="1">
      <formula>LEN(TRIM(J28))&gt;0</formula>
    </cfRule>
  </conditionalFormatting>
  <dataValidations count="9">
    <dataValidation type="whole" allowBlank="1" showInputMessage="1" showErrorMessage="1" prompt="Month of Birth" sqref="E11:E24">
      <formula1>1</formula1>
      <formula2>12</formula2>
    </dataValidation>
    <dataValidation type="whole" operator="greaterThan" allowBlank="1" showInputMessage="1" showErrorMessage="1" prompt="Year of Birth as YYYY." sqref="F11:F24">
      <formula1>1900</formula1>
    </dataValidation>
    <dataValidation type="list" allowBlank="1" showInputMessage="1" showErrorMessage="1" prompt="Select Employee Status. Whether Retiring or Retired." sqref="J4">
      <formula1>"Retiring,Retired"</formula1>
    </dataValidation>
    <dataValidation allowBlank="1" showInputMessage="1" showErrorMessage="1" error="Please Select From Drop Down List." prompt="Please Select Elegible OR Higher Sum Insured From Drop Down List.&#10;" sqref="L6:L7"/>
    <dataValidation type="list" allowBlank="1" showInputMessage="1" showErrorMessage="1" sqref="B6">
      <formula1>"500000,600000,1000000"</formula1>
    </dataValidation>
    <dataValidation type="list" allowBlank="1" showInputMessage="1" showErrorMessage="1" error="Please Select From Drop Down List." prompt="Please Select Elegible OR Higher Sum Insured From Drop Down List.&#10;" sqref="H6">
      <formula1>$T$29:$T$42</formula1>
    </dataValidation>
    <dataValidation allowBlank="1" showInputMessage="1" showErrorMessage="1" prompt="Date format DD-MMM-YYYY to take care of Excel Date settings and Windows Regional Settings." sqref="C7:E8"/>
    <dataValidation allowBlank="1" showInputMessage="1" showErrorMessage="1" prompt="Ensure dependency as unmarried non-earning Girl chid is dependent irrespective of age" sqref="A14"/>
    <dataValidation allowBlank="1" showInputMessage="1" showErrorMessage="1" prompt="Ensure dependency as unmarried non-earning Girl chid is dependent irrespective of age!&#10;" sqref="A13"/>
  </dataValidations>
  <printOptions horizontalCentered="1"/>
  <pageMargins left="0.27559055118110237" right="0.15748031496062992" top="0.36" bottom="0.37" header="0.17" footer="0.17"/>
  <pageSetup paperSize="9" scale="94" firstPageNumber="0" orientation="landscape" useFirstPageNumber="1" horizontalDpi="300" verticalDpi="300" r:id="rId1"/>
  <headerFooter alignWithMargins="0">
    <oddHeader>&amp;L&amp;F</oddHeader>
    <oddFooter>&amp;LDate: &amp;D</oddFooter>
  </headerFooter>
  <ignoredErrors>
    <ignoredError sqref="L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H82"/>
  <sheetViews>
    <sheetView workbookViewId="0"/>
  </sheetViews>
  <sheetFormatPr defaultColWidth="9" defaultRowHeight="12.75"/>
  <cols>
    <col min="1" max="1" width="19.5703125" customWidth="1"/>
    <col min="2" max="8" width="12.7109375" customWidth="1"/>
  </cols>
  <sheetData>
    <row r="2" spans="1:8" ht="13.5">
      <c r="A2" s="5" t="s">
        <v>61</v>
      </c>
      <c r="B2" s="6">
        <v>119</v>
      </c>
      <c r="C2" s="7" t="s">
        <v>62</v>
      </c>
      <c r="D2" s="8" t="s">
        <v>63</v>
      </c>
    </row>
    <row r="4" spans="1:8">
      <c r="A4" s="8" t="s">
        <v>64</v>
      </c>
    </row>
    <row r="6" spans="1:8">
      <c r="A6" s="8" t="s">
        <v>65</v>
      </c>
    </row>
    <row r="8" spans="1:8">
      <c r="A8" s="8" t="s">
        <v>66</v>
      </c>
    </row>
    <row r="9" spans="1:8">
      <c r="A9" s="8" t="s">
        <v>67</v>
      </c>
    </row>
    <row r="11" spans="1:8">
      <c r="A11" s="8" t="s">
        <v>68</v>
      </c>
    </row>
    <row r="12" spans="1:8">
      <c r="A12" s="8" t="s">
        <v>69</v>
      </c>
    </row>
    <row r="13" spans="1:8">
      <c r="B13" s="8" t="s">
        <v>8</v>
      </c>
      <c r="C13" s="8" t="s">
        <v>9</v>
      </c>
      <c r="D13" s="8" t="s">
        <v>10</v>
      </c>
      <c r="E13" s="8" t="s">
        <v>11</v>
      </c>
      <c r="F13" s="8" t="s">
        <v>12</v>
      </c>
      <c r="G13" s="8" t="s">
        <v>13</v>
      </c>
      <c r="H13" s="8" t="s">
        <v>14</v>
      </c>
    </row>
    <row r="14" spans="1:8">
      <c r="A14" s="8" t="s">
        <v>70</v>
      </c>
      <c r="B14" s="9">
        <v>4954</v>
      </c>
      <c r="C14" s="9">
        <v>5176</v>
      </c>
      <c r="D14" s="9">
        <v>7051</v>
      </c>
      <c r="E14" s="9">
        <v>7281</v>
      </c>
      <c r="F14" s="9">
        <v>8142</v>
      </c>
      <c r="G14" s="9">
        <v>8727</v>
      </c>
      <c r="H14" s="9">
        <v>10831</v>
      </c>
    </row>
    <row r="15" spans="1:8">
      <c r="A15" s="8" t="s">
        <v>71</v>
      </c>
      <c r="B15" s="9">
        <v>6732</v>
      </c>
      <c r="C15" s="9">
        <v>7014</v>
      </c>
      <c r="D15" s="9">
        <v>9603</v>
      </c>
      <c r="E15" s="9">
        <v>9937</v>
      </c>
      <c r="F15" s="9">
        <v>11117</v>
      </c>
      <c r="G15" s="9">
        <v>11912</v>
      </c>
      <c r="H15" s="9">
        <v>14741</v>
      </c>
    </row>
    <row r="16" spans="1:8">
      <c r="A16" s="8" t="s">
        <v>72</v>
      </c>
      <c r="B16" s="9">
        <v>8375</v>
      </c>
      <c r="C16" s="9">
        <v>8483</v>
      </c>
      <c r="D16" s="9">
        <v>11682</v>
      </c>
      <c r="E16" s="9">
        <v>12101</v>
      </c>
      <c r="F16" s="9">
        <v>13565</v>
      </c>
      <c r="G16" s="9">
        <v>14706</v>
      </c>
      <c r="H16" s="9">
        <v>18751</v>
      </c>
    </row>
    <row r="17" spans="1:8">
      <c r="A17" s="8" t="s">
        <v>73</v>
      </c>
      <c r="B17" s="9">
        <v>9228</v>
      </c>
      <c r="C17" s="9">
        <v>9347</v>
      </c>
      <c r="D17" s="9">
        <v>12871</v>
      </c>
      <c r="E17" s="9">
        <v>13333</v>
      </c>
      <c r="F17" s="9">
        <v>14946</v>
      </c>
      <c r="G17" s="9">
        <v>16204</v>
      </c>
      <c r="H17" s="9">
        <v>20660</v>
      </c>
    </row>
    <row r="18" spans="1:8">
      <c r="A18" s="8" t="s">
        <v>74</v>
      </c>
      <c r="B18" s="9">
        <v>10325</v>
      </c>
      <c r="C18" s="9">
        <v>10457</v>
      </c>
      <c r="D18" s="9">
        <v>14400</v>
      </c>
      <c r="E18" s="9">
        <v>14918</v>
      </c>
      <c r="F18" s="9">
        <v>16722</v>
      </c>
      <c r="G18" s="9">
        <v>18129</v>
      </c>
      <c r="H18" s="9">
        <v>23115</v>
      </c>
    </row>
    <row r="19" spans="1:8">
      <c r="A19" s="8" t="s">
        <v>75</v>
      </c>
      <c r="B19" s="9">
        <v>10812</v>
      </c>
      <c r="C19" s="9">
        <v>10951</v>
      </c>
      <c r="D19" s="9">
        <v>15008</v>
      </c>
      <c r="E19" s="9">
        <v>15622</v>
      </c>
      <c r="F19" s="9">
        <v>17511</v>
      </c>
      <c r="G19" s="9">
        <v>18985</v>
      </c>
      <c r="H19" s="9">
        <v>24206</v>
      </c>
    </row>
    <row r="20" spans="1:8">
      <c r="A20" s="8" t="s">
        <v>76</v>
      </c>
      <c r="B20" s="9">
        <v>11573</v>
      </c>
      <c r="C20" s="9">
        <v>11722</v>
      </c>
      <c r="D20" s="9">
        <v>16142</v>
      </c>
      <c r="E20" s="9">
        <v>16722</v>
      </c>
      <c r="F20" s="9">
        <v>18744</v>
      </c>
      <c r="G20" s="9">
        <v>20321</v>
      </c>
      <c r="H20" s="9">
        <v>25910</v>
      </c>
    </row>
    <row r="21" spans="1:8">
      <c r="A21" s="8" t="s">
        <v>77</v>
      </c>
      <c r="B21" s="9">
        <v>12081</v>
      </c>
      <c r="C21" s="9">
        <v>12236</v>
      </c>
      <c r="D21" s="9">
        <v>16850</v>
      </c>
      <c r="E21" s="9">
        <v>17456</v>
      </c>
      <c r="F21" s="9">
        <v>19566</v>
      </c>
      <c r="G21" s="9">
        <v>21212</v>
      </c>
      <c r="H21" s="9">
        <v>27046</v>
      </c>
    </row>
    <row r="22" spans="1:8">
      <c r="A22" s="8" t="s">
        <v>78</v>
      </c>
      <c r="B22" s="9">
        <v>12842</v>
      </c>
      <c r="C22" s="9">
        <v>13008</v>
      </c>
      <c r="D22" s="9">
        <v>17912</v>
      </c>
      <c r="E22" s="9">
        <v>18555</v>
      </c>
      <c r="F22" s="9">
        <v>20799</v>
      </c>
      <c r="G22" s="9">
        <v>22550</v>
      </c>
      <c r="H22" s="9">
        <v>28751</v>
      </c>
    </row>
    <row r="23" spans="1:8">
      <c r="A23" s="8" t="s">
        <v>79</v>
      </c>
    </row>
    <row r="24" spans="1:8">
      <c r="A24" s="8" t="s">
        <v>68</v>
      </c>
    </row>
    <row r="25" spans="1:8">
      <c r="A25" s="8" t="s">
        <v>69</v>
      </c>
    </row>
    <row r="26" spans="1:8">
      <c r="B26" s="8" t="s">
        <v>8</v>
      </c>
      <c r="C26" s="8" t="s">
        <v>9</v>
      </c>
      <c r="D26" s="8" t="s">
        <v>10</v>
      </c>
      <c r="E26" s="8" t="s">
        <v>11</v>
      </c>
      <c r="F26" s="8" t="s">
        <v>12</v>
      </c>
      <c r="G26" s="8" t="s">
        <v>13</v>
      </c>
      <c r="H26" s="8" t="s">
        <v>14</v>
      </c>
    </row>
    <row r="27" spans="1:8">
      <c r="A27" s="8" t="s">
        <v>70</v>
      </c>
      <c r="B27" s="9">
        <v>1982</v>
      </c>
      <c r="C27" s="9">
        <v>2070</v>
      </c>
      <c r="D27" s="9">
        <v>2820</v>
      </c>
      <c r="E27" s="9">
        <v>2912</v>
      </c>
      <c r="F27" s="9">
        <v>3257</v>
      </c>
      <c r="G27" s="9">
        <v>3491</v>
      </c>
      <c r="H27" s="9">
        <v>4332</v>
      </c>
    </row>
    <row r="28" spans="1:8">
      <c r="A28" s="8" t="s">
        <v>71</v>
      </c>
      <c r="B28" s="9">
        <v>2693</v>
      </c>
      <c r="C28" s="9">
        <v>2806</v>
      </c>
      <c r="D28" s="9">
        <v>3841</v>
      </c>
      <c r="E28" s="9">
        <v>3975</v>
      </c>
      <c r="F28" s="9">
        <v>4447</v>
      </c>
      <c r="G28" s="9">
        <v>4765</v>
      </c>
      <c r="H28" s="9">
        <v>5896</v>
      </c>
    </row>
    <row r="29" spans="1:8">
      <c r="A29" s="8" t="s">
        <v>72</v>
      </c>
      <c r="B29" s="9">
        <v>3350</v>
      </c>
      <c r="C29" s="9">
        <v>3393</v>
      </c>
      <c r="D29" s="9">
        <v>4673</v>
      </c>
      <c r="E29" s="9">
        <v>4840</v>
      </c>
      <c r="F29" s="9">
        <v>5426</v>
      </c>
      <c r="G29" s="9">
        <v>5882</v>
      </c>
      <c r="H29" s="9">
        <v>7500</v>
      </c>
    </row>
    <row r="30" spans="1:8">
      <c r="A30" s="8" t="s">
        <v>73</v>
      </c>
      <c r="B30" s="9">
        <v>3691</v>
      </c>
      <c r="C30" s="9">
        <v>3739</v>
      </c>
      <c r="D30" s="9">
        <v>5148</v>
      </c>
      <c r="E30" s="9">
        <v>5333</v>
      </c>
      <c r="F30" s="9">
        <v>5978</v>
      </c>
      <c r="G30" s="9">
        <v>6482</v>
      </c>
      <c r="H30" s="9">
        <v>8264</v>
      </c>
    </row>
    <row r="31" spans="1:8">
      <c r="A31" s="8" t="s">
        <v>74</v>
      </c>
      <c r="B31" s="9">
        <v>4130</v>
      </c>
      <c r="C31" s="9">
        <v>4183</v>
      </c>
      <c r="D31" s="9">
        <v>5760</v>
      </c>
      <c r="E31" s="9">
        <v>5967</v>
      </c>
      <c r="F31" s="9">
        <v>6689</v>
      </c>
      <c r="G31" s="9">
        <v>7252</v>
      </c>
      <c r="H31" s="9">
        <v>9246</v>
      </c>
    </row>
    <row r="32" spans="1:8">
      <c r="A32" s="8" t="s">
        <v>75</v>
      </c>
      <c r="B32" s="9">
        <v>4325</v>
      </c>
      <c r="C32" s="9">
        <v>4380</v>
      </c>
      <c r="D32" s="9">
        <v>6032</v>
      </c>
      <c r="E32" s="9">
        <v>6249</v>
      </c>
      <c r="F32" s="9">
        <v>7004</v>
      </c>
      <c r="G32" s="9">
        <v>7594</v>
      </c>
      <c r="H32" s="9">
        <v>9682</v>
      </c>
    </row>
    <row r="33" spans="1:8">
      <c r="A33" s="8" t="s">
        <v>76</v>
      </c>
      <c r="B33" s="9">
        <v>4629</v>
      </c>
      <c r="C33" s="9">
        <v>4689</v>
      </c>
      <c r="D33" s="9">
        <v>6457</v>
      </c>
      <c r="E33" s="9">
        <v>6689</v>
      </c>
      <c r="F33" s="9">
        <v>7498</v>
      </c>
      <c r="G33" s="9">
        <v>8128</v>
      </c>
      <c r="H33" s="9">
        <v>10364</v>
      </c>
    </row>
    <row r="34" spans="1:8">
      <c r="A34" s="8" t="s">
        <v>77</v>
      </c>
      <c r="B34" s="9">
        <v>4832</v>
      </c>
      <c r="C34" s="9">
        <v>4894</v>
      </c>
      <c r="D34" s="9">
        <v>6740</v>
      </c>
      <c r="E34" s="9">
        <v>6982</v>
      </c>
      <c r="F34" s="9">
        <v>7826</v>
      </c>
      <c r="G34" s="9">
        <v>8485</v>
      </c>
      <c r="H34" s="9">
        <v>10818</v>
      </c>
    </row>
    <row r="35" spans="1:8">
      <c r="A35" s="8" t="s">
        <v>78</v>
      </c>
      <c r="B35" s="9">
        <v>5137</v>
      </c>
      <c r="C35" s="9">
        <v>5203</v>
      </c>
      <c r="D35" s="9">
        <v>7165</v>
      </c>
      <c r="E35" s="9">
        <v>7422</v>
      </c>
      <c r="F35" s="9">
        <v>8320</v>
      </c>
      <c r="G35" s="9">
        <v>9020</v>
      </c>
      <c r="H35" s="9">
        <v>11500</v>
      </c>
    </row>
    <row r="36" spans="1:8">
      <c r="A36" s="8" t="s">
        <v>80</v>
      </c>
    </row>
    <row r="37" spans="1:8">
      <c r="A37" s="8" t="s">
        <v>68</v>
      </c>
    </row>
    <row r="38" spans="1:8">
      <c r="A38" s="8" t="s">
        <v>69</v>
      </c>
    </row>
    <row r="39" spans="1:8">
      <c r="B39" s="8" t="s">
        <v>8</v>
      </c>
      <c r="C39" s="8" t="s">
        <v>9</v>
      </c>
      <c r="D39" s="8" t="s">
        <v>10</v>
      </c>
      <c r="E39" s="8" t="s">
        <v>11</v>
      </c>
      <c r="F39" s="8" t="s">
        <v>12</v>
      </c>
      <c r="G39" s="8" t="s">
        <v>13</v>
      </c>
      <c r="H39" s="8" t="s">
        <v>14</v>
      </c>
    </row>
    <row r="40" spans="1:8">
      <c r="A40" s="8" t="s">
        <v>70</v>
      </c>
      <c r="B40" s="9">
        <v>1239</v>
      </c>
      <c r="C40" s="9">
        <v>1294</v>
      </c>
      <c r="D40" s="9">
        <v>1763</v>
      </c>
      <c r="E40" s="9">
        <v>1820</v>
      </c>
      <c r="F40" s="9">
        <v>2036</v>
      </c>
      <c r="G40" s="9">
        <v>2182</v>
      </c>
      <c r="H40" s="9">
        <v>2708</v>
      </c>
    </row>
    <row r="41" spans="1:8">
      <c r="A41" s="8" t="s">
        <v>71</v>
      </c>
      <c r="B41" s="9">
        <v>1683</v>
      </c>
      <c r="C41" s="9">
        <v>1754</v>
      </c>
      <c r="D41" s="9">
        <v>2401</v>
      </c>
      <c r="E41" s="9">
        <v>2484</v>
      </c>
      <c r="F41" s="9">
        <v>2779</v>
      </c>
      <c r="G41" s="9">
        <v>2978</v>
      </c>
      <c r="H41" s="9">
        <v>3685</v>
      </c>
    </row>
    <row r="42" spans="1:8">
      <c r="A42" s="8" t="s">
        <v>72</v>
      </c>
      <c r="B42" s="9">
        <v>2094</v>
      </c>
      <c r="C42" s="9">
        <v>2121</v>
      </c>
      <c r="D42" s="9">
        <v>2921</v>
      </c>
      <c r="E42" s="9">
        <v>3025</v>
      </c>
      <c r="F42" s="9">
        <v>3391</v>
      </c>
      <c r="G42" s="9">
        <v>3677</v>
      </c>
      <c r="H42" s="9">
        <v>4688</v>
      </c>
    </row>
    <row r="43" spans="1:8">
      <c r="A43" s="8" t="s">
        <v>73</v>
      </c>
      <c r="B43" s="9">
        <v>2307</v>
      </c>
      <c r="C43" s="9">
        <v>2337</v>
      </c>
      <c r="D43" s="9">
        <v>3218</v>
      </c>
      <c r="E43" s="9">
        <v>3333</v>
      </c>
      <c r="F43" s="9">
        <v>3737</v>
      </c>
      <c r="G43" s="9">
        <v>4051</v>
      </c>
      <c r="H43" s="9">
        <v>5165</v>
      </c>
    </row>
    <row r="44" spans="1:8">
      <c r="A44" s="8" t="s">
        <v>74</v>
      </c>
      <c r="B44" s="9">
        <v>2581</v>
      </c>
      <c r="C44" s="9">
        <v>2614</v>
      </c>
      <c r="D44" s="9">
        <v>3600</v>
      </c>
      <c r="E44" s="9">
        <v>3730</v>
      </c>
      <c r="F44" s="9">
        <v>4181</v>
      </c>
      <c r="G44" s="9">
        <v>4532</v>
      </c>
      <c r="H44" s="9">
        <v>5779</v>
      </c>
    </row>
    <row r="45" spans="1:8">
      <c r="A45" s="8" t="s">
        <v>75</v>
      </c>
      <c r="B45" s="9">
        <v>2703</v>
      </c>
      <c r="C45" s="9">
        <v>2738</v>
      </c>
      <c r="D45" s="9">
        <v>3770</v>
      </c>
      <c r="E45" s="9">
        <v>3906</v>
      </c>
      <c r="F45" s="9">
        <v>4378</v>
      </c>
      <c r="G45" s="9">
        <v>4746</v>
      </c>
      <c r="H45" s="9">
        <v>6052</v>
      </c>
    </row>
    <row r="46" spans="1:8">
      <c r="A46" s="8" t="s">
        <v>76</v>
      </c>
      <c r="B46" s="9">
        <v>2893</v>
      </c>
      <c r="C46" s="9">
        <v>2931</v>
      </c>
      <c r="D46" s="9">
        <v>4036</v>
      </c>
      <c r="E46" s="9">
        <v>4181</v>
      </c>
      <c r="F46" s="9">
        <v>4686</v>
      </c>
      <c r="G46" s="9">
        <v>5080</v>
      </c>
      <c r="H46" s="9">
        <v>6478</v>
      </c>
    </row>
    <row r="47" spans="1:8">
      <c r="A47" s="8" t="s">
        <v>77</v>
      </c>
      <c r="B47" s="9">
        <v>3020</v>
      </c>
      <c r="C47" s="9">
        <v>3059</v>
      </c>
      <c r="D47" s="9">
        <v>4213</v>
      </c>
      <c r="E47" s="9">
        <v>4364</v>
      </c>
      <c r="F47" s="9">
        <v>4892</v>
      </c>
      <c r="G47" s="9">
        <v>5303</v>
      </c>
      <c r="H47" s="9">
        <v>6762</v>
      </c>
    </row>
    <row r="48" spans="1:8">
      <c r="A48" s="8" t="s">
        <v>78</v>
      </c>
      <c r="B48" s="9">
        <v>3211</v>
      </c>
      <c r="C48" s="9">
        <v>3252</v>
      </c>
      <c r="D48" s="9">
        <v>4478</v>
      </c>
      <c r="E48" s="9">
        <v>4639</v>
      </c>
      <c r="F48" s="9">
        <v>5200</v>
      </c>
      <c r="G48" s="9">
        <v>5638</v>
      </c>
      <c r="H48" s="9">
        <v>7188</v>
      </c>
    </row>
    <row r="49" spans="1:8" ht="13.5">
      <c r="A49" s="5" t="s">
        <v>81</v>
      </c>
      <c r="D49" s="5" t="s">
        <v>82</v>
      </c>
      <c r="H49" s="5" t="s">
        <v>83</v>
      </c>
    </row>
    <row r="51" spans="1:8">
      <c r="A51" s="8" t="s">
        <v>84</v>
      </c>
    </row>
    <row r="53" spans="1:8" ht="13.5">
      <c r="A53" s="10" t="s">
        <v>61</v>
      </c>
      <c r="B53" s="11">
        <v>119</v>
      </c>
      <c r="C53" s="12" t="s">
        <v>62</v>
      </c>
      <c r="D53" s="8" t="s">
        <v>63</v>
      </c>
    </row>
    <row r="55" spans="1:8">
      <c r="A55" s="8" t="s">
        <v>64</v>
      </c>
    </row>
    <row r="57" spans="1:8">
      <c r="A57" s="8" t="s">
        <v>85</v>
      </c>
    </row>
    <row r="59" spans="1:8">
      <c r="A59" s="8" t="s">
        <v>86</v>
      </c>
    </row>
    <row r="61" spans="1:8">
      <c r="A61" s="8" t="s">
        <v>68</v>
      </c>
    </row>
    <row r="62" spans="1:8">
      <c r="A62" s="8" t="s">
        <v>69</v>
      </c>
    </row>
    <row r="63" spans="1:8">
      <c r="B63" s="8" t="s">
        <v>8</v>
      </c>
      <c r="C63" s="8" t="s">
        <v>9</v>
      </c>
      <c r="D63" s="8" t="s">
        <v>10</v>
      </c>
      <c r="E63" s="8" t="s">
        <v>11</v>
      </c>
      <c r="F63" s="8" t="s">
        <v>12</v>
      </c>
      <c r="G63" s="8" t="s">
        <v>13</v>
      </c>
      <c r="H63" s="8" t="s">
        <v>14</v>
      </c>
    </row>
    <row r="64" spans="1:8">
      <c r="A64" s="8" t="s">
        <v>70</v>
      </c>
      <c r="B64" s="9">
        <v>3878</v>
      </c>
      <c r="C64" s="9">
        <v>3878</v>
      </c>
      <c r="D64" s="9">
        <v>3878</v>
      </c>
      <c r="E64" s="9">
        <v>4005</v>
      </c>
      <c r="F64" s="9">
        <v>4478</v>
      </c>
      <c r="G64" s="9">
        <v>4800</v>
      </c>
      <c r="H64" s="9">
        <v>5957</v>
      </c>
    </row>
    <row r="65" spans="1:8">
      <c r="A65" s="8" t="s">
        <v>71</v>
      </c>
      <c r="B65" s="9">
        <v>5282</v>
      </c>
      <c r="C65" s="9">
        <v>5282</v>
      </c>
      <c r="D65" s="9">
        <v>5282</v>
      </c>
      <c r="E65" s="9">
        <v>5465</v>
      </c>
      <c r="F65" s="9">
        <v>6114</v>
      </c>
      <c r="G65" s="9">
        <v>6552</v>
      </c>
      <c r="H65" s="9">
        <v>8108</v>
      </c>
    </row>
    <row r="66" spans="1:8">
      <c r="A66" s="8" t="s">
        <v>72</v>
      </c>
      <c r="B66" s="9">
        <v>6425</v>
      </c>
      <c r="C66" s="9">
        <v>6425</v>
      </c>
      <c r="D66" s="9">
        <v>6425</v>
      </c>
      <c r="E66" s="9">
        <v>6656</v>
      </c>
      <c r="F66" s="9">
        <v>7461</v>
      </c>
      <c r="G66" s="9">
        <v>8088</v>
      </c>
      <c r="H66" s="9">
        <v>10313</v>
      </c>
    </row>
    <row r="67" spans="1:8">
      <c r="A67" s="8" t="s">
        <v>73</v>
      </c>
      <c r="B67" s="9">
        <v>7079</v>
      </c>
      <c r="C67" s="9">
        <v>7079</v>
      </c>
      <c r="D67" s="9">
        <v>7079</v>
      </c>
      <c r="E67" s="9">
        <v>7333</v>
      </c>
      <c r="F67" s="9">
        <v>8220</v>
      </c>
      <c r="G67" s="9">
        <v>8912</v>
      </c>
      <c r="H67" s="9">
        <v>11363</v>
      </c>
    </row>
    <row r="68" spans="1:8">
      <c r="A68" s="8" t="s">
        <v>74</v>
      </c>
      <c r="B68" s="9">
        <v>7920</v>
      </c>
      <c r="C68" s="9">
        <v>7920</v>
      </c>
      <c r="D68" s="9">
        <v>7920</v>
      </c>
      <c r="E68" s="9">
        <v>5205</v>
      </c>
      <c r="F68" s="9">
        <v>9197</v>
      </c>
      <c r="G68" s="9">
        <v>9971</v>
      </c>
      <c r="H68" s="9">
        <v>12713</v>
      </c>
    </row>
    <row r="69" spans="1:8">
      <c r="A69" s="8" t="s">
        <v>75</v>
      </c>
      <c r="B69" s="9">
        <v>8294</v>
      </c>
      <c r="C69" s="9">
        <v>8294</v>
      </c>
      <c r="D69" s="9">
        <v>8294</v>
      </c>
      <c r="E69" s="9">
        <v>8592</v>
      </c>
      <c r="F69" s="9">
        <v>9631</v>
      </c>
      <c r="G69" s="9">
        <v>10442</v>
      </c>
      <c r="H69" s="9">
        <v>13313</v>
      </c>
    </row>
    <row r="70" spans="1:8">
      <c r="A70" s="8" t="s">
        <v>76</v>
      </c>
      <c r="B70" s="9">
        <v>8878</v>
      </c>
      <c r="C70" s="9">
        <v>8878</v>
      </c>
      <c r="D70" s="9">
        <v>8878</v>
      </c>
      <c r="E70" s="9">
        <v>9197</v>
      </c>
      <c r="F70" s="9">
        <v>10309</v>
      </c>
      <c r="G70" s="9">
        <v>11177</v>
      </c>
      <c r="H70" s="9">
        <v>14251</v>
      </c>
    </row>
    <row r="71" spans="1:8">
      <c r="A71" s="8" t="s">
        <v>77</v>
      </c>
      <c r="B71" s="9">
        <v>9268</v>
      </c>
      <c r="C71" s="9">
        <v>9268</v>
      </c>
      <c r="D71" s="9">
        <v>9268</v>
      </c>
      <c r="E71" s="9">
        <v>9601</v>
      </c>
      <c r="F71" s="9">
        <v>10761</v>
      </c>
      <c r="G71" s="9">
        <v>11667</v>
      </c>
      <c r="H71" s="9">
        <v>14875</v>
      </c>
    </row>
    <row r="72" spans="1:8">
      <c r="A72" s="8" t="s">
        <v>78</v>
      </c>
      <c r="B72" s="9">
        <v>9852</v>
      </c>
      <c r="C72" s="9">
        <v>9852</v>
      </c>
      <c r="D72" s="9">
        <v>9852</v>
      </c>
      <c r="E72" s="9">
        <v>10205</v>
      </c>
      <c r="F72" s="9">
        <v>11439</v>
      </c>
      <c r="G72" s="9">
        <v>12403</v>
      </c>
      <c r="H72" s="9">
        <v>15813</v>
      </c>
    </row>
    <row r="74" spans="1:8">
      <c r="A74" s="8" t="s">
        <v>87</v>
      </c>
    </row>
    <row r="76" spans="1:8">
      <c r="A76" s="8" t="s">
        <v>88</v>
      </c>
    </row>
    <row r="77" spans="1:8">
      <c r="A77" s="8" t="s">
        <v>89</v>
      </c>
    </row>
    <row r="79" spans="1:8">
      <c r="A79" s="8" t="s">
        <v>90</v>
      </c>
    </row>
    <row r="80" spans="1:8">
      <c r="A80" s="8" t="s">
        <v>91</v>
      </c>
    </row>
    <row r="82" spans="1:3" ht="13.5">
      <c r="A82" s="5" t="s">
        <v>81</v>
      </c>
      <c r="B82" s="5" t="s">
        <v>92</v>
      </c>
      <c r="C82" s="5" t="s">
        <v>83</v>
      </c>
    </row>
  </sheetData>
  <pageMargins left="0.69930555555555596" right="0.69930555555555596" top="0.75" bottom="0.75" header="0.51180555555555596" footer="0.51180555555555596"/>
  <pageSetup paperSize="9" firstPageNumber="0" orientation="portrait" useFirstPageNumber="1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2"/>
  <sheetViews>
    <sheetView workbookViewId="0"/>
  </sheetViews>
  <sheetFormatPr defaultColWidth="9" defaultRowHeight="12.75"/>
  <cols>
    <col min="1" max="1" width="10.42578125" customWidth="1"/>
    <col min="2" max="2" width="11.7109375" customWidth="1"/>
  </cols>
  <sheetData>
    <row r="1" spans="1:2" ht="15.75">
      <c r="A1" s="1" t="s">
        <v>93</v>
      </c>
      <c r="B1" s="1" t="s">
        <v>94</v>
      </c>
    </row>
    <row r="2" spans="1:2" ht="15.75">
      <c r="A2" s="2">
        <v>42217</v>
      </c>
      <c r="B2" s="3">
        <v>287.04000000000002</v>
      </c>
    </row>
    <row r="3" spans="1:2" ht="15.75">
      <c r="A3" s="2">
        <v>42217</v>
      </c>
      <c r="B3" s="3">
        <v>35.479999999999997</v>
      </c>
    </row>
    <row r="4" spans="1:2" ht="15.75">
      <c r="A4" s="2">
        <v>42217</v>
      </c>
      <c r="B4" s="3">
        <v>675.67</v>
      </c>
    </row>
    <row r="5" spans="1:2" ht="15.75">
      <c r="A5" s="2">
        <v>42217</v>
      </c>
      <c r="B5" s="3">
        <v>83.51</v>
      </c>
    </row>
    <row r="6" spans="1:2" ht="15.75">
      <c r="A6" s="2">
        <v>42186</v>
      </c>
      <c r="B6" s="3">
        <v>322.10000000000002</v>
      </c>
    </row>
    <row r="7" spans="1:2" ht="15.75">
      <c r="A7" s="2">
        <v>42186</v>
      </c>
      <c r="B7" s="3">
        <v>39.81</v>
      </c>
    </row>
    <row r="8" spans="1:2" ht="15.75">
      <c r="A8" s="2">
        <v>42186</v>
      </c>
      <c r="B8" s="3">
        <v>675.67</v>
      </c>
    </row>
    <row r="9" spans="1:2" ht="15.75">
      <c r="A9" s="2">
        <v>42186</v>
      </c>
      <c r="B9" s="3">
        <v>83.51</v>
      </c>
    </row>
    <row r="10" spans="1:2" ht="15.75">
      <c r="A10" s="2">
        <v>42156</v>
      </c>
      <c r="B10" s="3">
        <v>322.10000000000002</v>
      </c>
    </row>
    <row r="11" spans="1:2" ht="15.75">
      <c r="A11" s="2">
        <v>42156</v>
      </c>
      <c r="B11" s="3">
        <v>39.81</v>
      </c>
    </row>
    <row r="12" spans="1:2" ht="15.75">
      <c r="A12" s="2">
        <v>42156</v>
      </c>
      <c r="B12" s="3">
        <v>675.67</v>
      </c>
    </row>
    <row r="13" spans="1:2" ht="15.75">
      <c r="A13" s="2">
        <v>42156</v>
      </c>
      <c r="B13" s="3">
        <v>83.51</v>
      </c>
    </row>
    <row r="14" spans="1:2" ht="15.75">
      <c r="A14" s="2">
        <v>42125</v>
      </c>
      <c r="B14" s="3">
        <v>322.10000000000002</v>
      </c>
    </row>
    <row r="15" spans="1:2" ht="15.75">
      <c r="A15" s="2">
        <v>42125</v>
      </c>
      <c r="B15" s="3">
        <v>39.81</v>
      </c>
    </row>
    <row r="16" spans="1:2" ht="15.75">
      <c r="A16" s="2">
        <v>42125</v>
      </c>
      <c r="B16" s="3">
        <v>675.67</v>
      </c>
    </row>
    <row r="17" spans="1:2" ht="15.75">
      <c r="A17" s="2">
        <v>42125</v>
      </c>
      <c r="B17" s="3">
        <v>83.51</v>
      </c>
    </row>
    <row r="18" spans="1:2" ht="15.75">
      <c r="A18" s="2">
        <v>42095</v>
      </c>
      <c r="B18" s="3">
        <v>322.10000000000002</v>
      </c>
    </row>
    <row r="19" spans="1:2" ht="15.75">
      <c r="A19" s="2">
        <v>42095</v>
      </c>
      <c r="B19" s="3">
        <v>39.81</v>
      </c>
    </row>
    <row r="20" spans="1:2" ht="15.75">
      <c r="A20" s="2">
        <v>42095</v>
      </c>
      <c r="B20" s="3">
        <v>675.67</v>
      </c>
    </row>
    <row r="21" spans="1:2" ht="15.75">
      <c r="A21" s="2">
        <v>42095</v>
      </c>
      <c r="B21" s="3">
        <v>83.51</v>
      </c>
    </row>
    <row r="22" spans="1:2" ht="15.75">
      <c r="A22" s="4"/>
      <c r="B22" s="3">
        <f>SUM(B2:B21)</f>
        <v>5566.0600000000013</v>
      </c>
    </row>
  </sheetData>
  <pageMargins left="0.69930555555555596" right="0.69930555555555596" top="0.75" bottom="0.75" header="0.51180555555555596" footer="0.51180555555555596"/>
  <pageSetup paperSize="9" firstPageNumber="0" orientation="portrait" useFirstPageNumber="1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6"/>
  <sheetViews>
    <sheetView topLeftCell="A73" workbookViewId="0">
      <selection activeCell="D82" sqref="D82"/>
    </sheetView>
  </sheetViews>
  <sheetFormatPr defaultColWidth="9" defaultRowHeight="12.75"/>
  <cols>
    <col min="4" max="4" width="11.5703125" style="84" bestFit="1" customWidth="1"/>
    <col min="5" max="5" width="10.28515625" bestFit="1" customWidth="1"/>
    <col min="6" max="12" width="9.140625" bestFit="1" customWidth="1"/>
  </cols>
  <sheetData>
    <row r="1" spans="1:12">
      <c r="E1" s="120"/>
      <c r="F1" s="120"/>
      <c r="G1" s="120"/>
      <c r="H1" s="120"/>
      <c r="I1" s="120"/>
      <c r="J1" s="120"/>
      <c r="K1" s="120"/>
      <c r="L1" s="120"/>
    </row>
    <row r="2" spans="1:12">
      <c r="E2" s="120"/>
      <c r="F2" s="120"/>
      <c r="G2" s="120"/>
      <c r="H2" s="120"/>
      <c r="I2" s="120"/>
      <c r="J2" s="120"/>
      <c r="K2" s="120"/>
      <c r="L2" s="120"/>
    </row>
    <row r="3" spans="1:12">
      <c r="E3" s="120"/>
      <c r="F3" s="120"/>
      <c r="G3" s="120"/>
      <c r="H3" s="120"/>
      <c r="I3" s="120"/>
      <c r="J3" s="120"/>
      <c r="K3" s="120"/>
      <c r="L3" s="120"/>
    </row>
    <row r="4" spans="1:12">
      <c r="E4" s="120"/>
      <c r="F4" s="120"/>
      <c r="G4" s="120"/>
      <c r="H4" s="120"/>
      <c r="I4" s="120"/>
      <c r="J4" s="120"/>
      <c r="K4" s="120"/>
      <c r="L4" s="120"/>
    </row>
    <row r="5" spans="1:12">
      <c r="E5" s="120"/>
      <c r="F5" s="120"/>
      <c r="G5" s="120"/>
      <c r="H5" s="120"/>
      <c r="I5" s="120"/>
      <c r="J5" s="120"/>
      <c r="K5" s="120"/>
      <c r="L5" s="120"/>
    </row>
    <row r="6" spans="1:12">
      <c r="E6" s="103" t="s">
        <v>99</v>
      </c>
      <c r="F6" s="120"/>
      <c r="G6" s="120"/>
      <c r="H6" s="120"/>
      <c r="I6" s="120"/>
      <c r="J6" s="120"/>
      <c r="K6" s="120"/>
      <c r="L6" s="120"/>
    </row>
    <row r="7" spans="1:12" ht="15">
      <c r="A7" s="13"/>
      <c r="B7" s="13"/>
      <c r="C7" s="13"/>
      <c r="D7" s="77"/>
      <c r="E7" s="115" t="s">
        <v>7</v>
      </c>
      <c r="F7" s="114" t="s">
        <v>8</v>
      </c>
      <c r="G7" s="114" t="s">
        <v>9</v>
      </c>
      <c r="H7" s="114" t="s">
        <v>10</v>
      </c>
      <c r="I7" s="114" t="s">
        <v>11</v>
      </c>
      <c r="J7" s="114" t="s">
        <v>12</v>
      </c>
      <c r="K7" s="114" t="s">
        <v>13</v>
      </c>
      <c r="L7" s="114" t="s">
        <v>14</v>
      </c>
    </row>
    <row r="8" spans="1:12" ht="30">
      <c r="A8" s="75" t="s">
        <v>16</v>
      </c>
      <c r="B8" s="75" t="s">
        <v>17</v>
      </c>
      <c r="C8" s="13"/>
      <c r="D8" s="76">
        <v>43922</v>
      </c>
      <c r="E8" s="113">
        <v>300000</v>
      </c>
      <c r="F8" s="112">
        <v>6193</v>
      </c>
      <c r="G8" s="112">
        <v>6470</v>
      </c>
      <c r="H8" s="112">
        <v>8814</v>
      </c>
      <c r="I8" s="112">
        <v>9101</v>
      </c>
      <c r="J8" s="112">
        <v>10178</v>
      </c>
      <c r="K8" s="112">
        <v>10909</v>
      </c>
      <c r="L8" s="112">
        <v>13539</v>
      </c>
    </row>
    <row r="9" spans="1:12" ht="15">
      <c r="A9" s="31">
        <v>1</v>
      </c>
      <c r="B9" s="31">
        <v>1</v>
      </c>
      <c r="C9" s="13" t="s">
        <v>18</v>
      </c>
      <c r="D9" s="78" t="s">
        <v>19</v>
      </c>
      <c r="E9" s="113">
        <v>400000</v>
      </c>
      <c r="F9" s="112">
        <v>8415</v>
      </c>
      <c r="G9" s="112">
        <v>8768</v>
      </c>
      <c r="H9" s="112">
        <v>12004</v>
      </c>
      <c r="I9" s="112">
        <v>12421</v>
      </c>
      <c r="J9" s="112">
        <v>13896</v>
      </c>
      <c r="K9" s="112">
        <v>14890</v>
      </c>
      <c r="L9" s="112">
        <v>18426</v>
      </c>
    </row>
    <row r="10" spans="1:12" ht="15">
      <c r="A10" s="34">
        <v>2</v>
      </c>
      <c r="B10" s="31">
        <v>12</v>
      </c>
      <c r="C10" s="33">
        <v>0</v>
      </c>
      <c r="D10" s="79">
        <v>500000</v>
      </c>
      <c r="E10" s="113">
        <v>500000</v>
      </c>
      <c r="F10" s="112">
        <v>10469</v>
      </c>
      <c r="G10" s="112">
        <v>10604</v>
      </c>
      <c r="H10" s="112">
        <v>14603</v>
      </c>
      <c r="I10" s="112">
        <v>15126</v>
      </c>
      <c r="J10" s="112">
        <v>16956</v>
      </c>
      <c r="K10" s="112">
        <v>18383</v>
      </c>
      <c r="L10" s="112">
        <v>23439</v>
      </c>
    </row>
    <row r="11" spans="1:12" ht="15">
      <c r="A11" s="31">
        <v>3</v>
      </c>
      <c r="B11" s="31">
        <v>11</v>
      </c>
      <c r="C11" s="13">
        <v>43300</v>
      </c>
      <c r="D11" s="78">
        <v>600000</v>
      </c>
      <c r="E11" s="113">
        <v>600000</v>
      </c>
      <c r="F11" s="112">
        <v>11535</v>
      </c>
      <c r="G11" s="112">
        <v>11684</v>
      </c>
      <c r="H11" s="112">
        <v>16089</v>
      </c>
      <c r="I11" s="112">
        <v>16666</v>
      </c>
      <c r="J11" s="112">
        <v>18683</v>
      </c>
      <c r="K11" s="112">
        <v>20255</v>
      </c>
      <c r="L11" s="112">
        <v>25825</v>
      </c>
    </row>
    <row r="12" spans="1:12" ht="15">
      <c r="A12" s="34">
        <v>4</v>
      </c>
      <c r="B12" s="31">
        <v>10</v>
      </c>
      <c r="C12" s="13">
        <v>55335</v>
      </c>
      <c r="D12" s="78">
        <v>1000000</v>
      </c>
      <c r="E12" s="113">
        <v>800000</v>
      </c>
      <c r="F12" s="112">
        <v>12906</v>
      </c>
      <c r="G12" s="112">
        <v>13071</v>
      </c>
      <c r="H12" s="112">
        <v>18000</v>
      </c>
      <c r="I12" s="112">
        <v>18648</v>
      </c>
      <c r="J12" s="112">
        <v>20903</v>
      </c>
      <c r="K12" s="112">
        <v>22661</v>
      </c>
      <c r="L12" s="112">
        <v>28894</v>
      </c>
    </row>
    <row r="13" spans="1:12" ht="15">
      <c r="A13" s="31">
        <v>5</v>
      </c>
      <c r="B13" s="31">
        <v>9</v>
      </c>
      <c r="C13" s="13"/>
      <c r="D13" s="77"/>
      <c r="E13" s="113">
        <v>1000000</v>
      </c>
      <c r="F13" s="112">
        <v>13515</v>
      </c>
      <c r="G13" s="112">
        <v>13689</v>
      </c>
      <c r="H13" s="112">
        <v>18850</v>
      </c>
      <c r="I13" s="112">
        <v>19528</v>
      </c>
      <c r="J13" s="112">
        <v>21889</v>
      </c>
      <c r="K13" s="112">
        <v>23731</v>
      </c>
      <c r="L13" s="112">
        <v>30258</v>
      </c>
    </row>
    <row r="14" spans="1:12" ht="15">
      <c r="A14" s="34">
        <v>6</v>
      </c>
      <c r="B14" s="31">
        <v>8</v>
      </c>
      <c r="C14" s="13"/>
      <c r="D14" s="77"/>
      <c r="E14" s="113">
        <v>1200000</v>
      </c>
      <c r="F14" s="112">
        <v>14466</v>
      </c>
      <c r="G14" s="112">
        <v>14653</v>
      </c>
      <c r="H14" s="112">
        <v>20178</v>
      </c>
      <c r="I14" s="112">
        <v>20903</v>
      </c>
      <c r="J14" s="112">
        <v>23430</v>
      </c>
      <c r="K14" s="112">
        <v>25401</v>
      </c>
      <c r="L14" s="112">
        <v>32388</v>
      </c>
    </row>
    <row r="15" spans="1:12" ht="15">
      <c r="A15" s="31">
        <v>7</v>
      </c>
      <c r="B15" s="31">
        <v>7</v>
      </c>
      <c r="C15" s="13"/>
      <c r="D15" s="77"/>
      <c r="E15" s="113">
        <v>1500000</v>
      </c>
      <c r="F15" s="112">
        <v>15101</v>
      </c>
      <c r="G15" s="112">
        <v>15295</v>
      </c>
      <c r="H15" s="112">
        <v>21063</v>
      </c>
      <c r="I15" s="112">
        <v>21820</v>
      </c>
      <c r="J15" s="112">
        <v>24458</v>
      </c>
      <c r="K15" s="112">
        <v>26515</v>
      </c>
      <c r="L15" s="112">
        <v>33808</v>
      </c>
    </row>
    <row r="16" spans="1:12" ht="15">
      <c r="A16" s="34">
        <v>8</v>
      </c>
      <c r="B16" s="31">
        <v>6</v>
      </c>
      <c r="C16" s="13"/>
      <c r="D16" s="77"/>
      <c r="E16" s="113">
        <v>2000000</v>
      </c>
      <c r="F16" s="112">
        <v>16053</v>
      </c>
      <c r="G16" s="112">
        <v>16260</v>
      </c>
      <c r="H16" s="112">
        <v>22390</v>
      </c>
      <c r="I16" s="112">
        <v>23194</v>
      </c>
      <c r="J16" s="112">
        <v>25999</v>
      </c>
      <c r="K16" s="112">
        <v>28188</v>
      </c>
      <c r="L16" s="112">
        <v>35939</v>
      </c>
    </row>
    <row r="17" spans="1:12" ht="15">
      <c r="A17" s="31">
        <v>9</v>
      </c>
      <c r="B17" s="31">
        <v>5</v>
      </c>
      <c r="C17" s="13"/>
      <c r="D17" s="77"/>
      <c r="E17" s="113">
        <v>2500000</v>
      </c>
      <c r="F17" s="112">
        <v>17458</v>
      </c>
      <c r="G17" s="112">
        <v>17683</v>
      </c>
      <c r="H17" s="112">
        <v>24629</v>
      </c>
      <c r="I17" s="112">
        <v>25514</v>
      </c>
      <c r="J17" s="112">
        <v>28924</v>
      </c>
      <c r="K17" s="112">
        <v>31359</v>
      </c>
      <c r="L17" s="112">
        <v>39981</v>
      </c>
    </row>
    <row r="18" spans="1:12" ht="15">
      <c r="A18" s="34">
        <v>10</v>
      </c>
      <c r="B18" s="31">
        <v>4</v>
      </c>
      <c r="C18" s="13"/>
      <c r="D18" s="77"/>
      <c r="E18" s="113">
        <v>3000000</v>
      </c>
      <c r="F18" s="112">
        <v>18694</v>
      </c>
      <c r="G18" s="112">
        <v>18935</v>
      </c>
      <c r="H18" s="112">
        <v>26599</v>
      </c>
      <c r="I18" s="112">
        <v>27554</v>
      </c>
      <c r="J18" s="112">
        <v>31498</v>
      </c>
      <c r="K18" s="112">
        <v>34149</v>
      </c>
      <c r="L18" s="112">
        <v>43540</v>
      </c>
    </row>
    <row r="19" spans="1:12" ht="15">
      <c r="A19" s="31">
        <v>11</v>
      </c>
      <c r="B19" s="31">
        <v>3</v>
      </c>
      <c r="C19" s="13"/>
      <c r="D19" s="77"/>
      <c r="E19" s="113">
        <v>3500000</v>
      </c>
      <c r="F19" s="112">
        <v>19705</v>
      </c>
      <c r="G19" s="112">
        <v>19959</v>
      </c>
      <c r="H19" s="112">
        <v>28211</v>
      </c>
      <c r="I19" s="112">
        <v>29224</v>
      </c>
      <c r="J19" s="112">
        <v>33604</v>
      </c>
      <c r="K19" s="112">
        <v>36433</v>
      </c>
      <c r="L19" s="112">
        <v>46451</v>
      </c>
    </row>
    <row r="20" spans="1:12" ht="15">
      <c r="A20" s="34">
        <v>12</v>
      </c>
      <c r="B20" s="31">
        <v>2</v>
      </c>
      <c r="C20" s="13"/>
      <c r="D20" s="77"/>
      <c r="E20" s="113">
        <v>4000000</v>
      </c>
      <c r="F20" s="112">
        <v>20548</v>
      </c>
      <c r="G20" s="112">
        <v>20813</v>
      </c>
      <c r="H20" s="112">
        <v>29555</v>
      </c>
      <c r="I20" s="112">
        <v>30616</v>
      </c>
      <c r="J20" s="112">
        <v>35359</v>
      </c>
      <c r="K20" s="112">
        <v>38335</v>
      </c>
      <c r="L20" s="112">
        <v>48876</v>
      </c>
    </row>
    <row r="21" spans="1:12" ht="15">
      <c r="A21" s="13"/>
      <c r="B21" s="33">
        <v>-1</v>
      </c>
      <c r="C21" s="13"/>
      <c r="D21" s="77"/>
      <c r="E21" s="113">
        <v>5000000</v>
      </c>
      <c r="F21" s="112">
        <v>21671</v>
      </c>
      <c r="G21" s="112">
        <v>21951</v>
      </c>
      <c r="H21" s="112">
        <v>31346</v>
      </c>
      <c r="I21" s="112">
        <v>32471</v>
      </c>
      <c r="J21" s="112">
        <v>37699</v>
      </c>
      <c r="K21" s="112">
        <v>40873</v>
      </c>
      <c r="L21" s="112">
        <v>52111</v>
      </c>
    </row>
    <row r="22" spans="1:12" ht="15">
      <c r="A22" s="13"/>
      <c r="B22" s="13"/>
      <c r="C22" s="13"/>
      <c r="D22" s="80"/>
      <c r="E22" s="118"/>
      <c r="F22" s="118"/>
      <c r="G22" s="118"/>
      <c r="H22" s="118"/>
      <c r="I22" s="118"/>
      <c r="J22" s="118"/>
      <c r="K22" s="118"/>
      <c r="L22" s="118"/>
    </row>
    <row r="23" spans="1:12" ht="15">
      <c r="A23" s="13"/>
      <c r="B23" s="13"/>
      <c r="C23" s="13"/>
      <c r="D23" s="80"/>
      <c r="E23" s="118"/>
      <c r="F23" s="118"/>
      <c r="G23" s="118"/>
      <c r="H23" s="118"/>
      <c r="I23" s="118"/>
      <c r="J23" s="118"/>
      <c r="K23" s="118"/>
      <c r="L23" s="118"/>
    </row>
    <row r="24" spans="1:12" ht="15">
      <c r="A24" s="13"/>
      <c r="B24" s="13"/>
      <c r="C24" s="13"/>
      <c r="D24" s="77"/>
      <c r="E24" s="114"/>
      <c r="F24" s="112"/>
      <c r="G24" s="112"/>
      <c r="H24" s="112"/>
      <c r="I24" s="112"/>
      <c r="J24" s="112"/>
      <c r="K24" s="112"/>
      <c r="L24" s="112"/>
    </row>
    <row r="25" spans="1:12" ht="15">
      <c r="A25" s="13"/>
      <c r="B25" s="13"/>
      <c r="C25" s="13"/>
      <c r="D25" s="77"/>
      <c r="E25" s="107"/>
      <c r="F25" s="108"/>
      <c r="G25" s="108"/>
      <c r="H25" s="108"/>
      <c r="I25" s="108"/>
      <c r="J25" s="108"/>
      <c r="K25" s="108"/>
      <c r="L25" s="108"/>
    </row>
    <row r="26" spans="1:12" ht="15">
      <c r="A26" s="13"/>
      <c r="B26" s="13"/>
      <c r="C26" s="13"/>
      <c r="D26" s="77"/>
      <c r="E26" s="103" t="s">
        <v>33</v>
      </c>
      <c r="F26" s="117"/>
      <c r="G26" s="117"/>
      <c r="H26" s="117"/>
      <c r="I26" s="117"/>
      <c r="J26" s="117"/>
      <c r="K26" s="117"/>
      <c r="L26" s="117"/>
    </row>
    <row r="27" spans="1:12" ht="15">
      <c r="A27" s="13"/>
      <c r="B27" s="13"/>
      <c r="C27" s="13"/>
      <c r="D27" s="77"/>
      <c r="E27" s="115" t="s">
        <v>7</v>
      </c>
      <c r="F27" s="114" t="s">
        <v>8</v>
      </c>
      <c r="G27" s="114" t="s">
        <v>9</v>
      </c>
      <c r="H27" s="114" t="s">
        <v>10</v>
      </c>
      <c r="I27" s="114" t="s">
        <v>11</v>
      </c>
      <c r="J27" s="114" t="s">
        <v>12</v>
      </c>
      <c r="K27" s="114" t="s">
        <v>13</v>
      </c>
      <c r="L27" s="114" t="s">
        <v>14</v>
      </c>
    </row>
    <row r="28" spans="1:12" ht="15">
      <c r="A28" s="13"/>
      <c r="B28" s="13"/>
      <c r="C28" s="13"/>
      <c r="D28" s="77"/>
      <c r="E28" s="113">
        <v>300000</v>
      </c>
      <c r="F28" s="112">
        <v>2478</v>
      </c>
      <c r="G28" s="112">
        <v>2588</v>
      </c>
      <c r="H28" s="112">
        <v>3525</v>
      </c>
      <c r="I28" s="112">
        <v>3640</v>
      </c>
      <c r="J28" s="112">
        <v>4071</v>
      </c>
      <c r="K28" s="112">
        <v>4364</v>
      </c>
      <c r="L28" s="112">
        <v>5415</v>
      </c>
    </row>
    <row r="29" spans="1:12" ht="15">
      <c r="A29" s="13"/>
      <c r="B29" s="13"/>
      <c r="C29" s="13"/>
      <c r="D29" s="78" t="s">
        <v>50</v>
      </c>
      <c r="E29" s="113">
        <v>400000</v>
      </c>
      <c r="F29" s="112">
        <v>3366</v>
      </c>
      <c r="G29" s="112">
        <v>3508</v>
      </c>
      <c r="H29" s="112">
        <v>4801</v>
      </c>
      <c r="I29" s="112">
        <v>4969</v>
      </c>
      <c r="J29" s="112">
        <v>5559</v>
      </c>
      <c r="K29" s="112">
        <v>5956</v>
      </c>
      <c r="L29" s="112">
        <v>7370</v>
      </c>
    </row>
    <row r="30" spans="1:12" ht="15">
      <c r="A30" s="13"/>
      <c r="B30" s="13"/>
      <c r="C30" s="13"/>
      <c r="D30" s="81">
        <v>300000</v>
      </c>
      <c r="E30" s="113">
        <v>500000</v>
      </c>
      <c r="F30" s="112">
        <v>4188</v>
      </c>
      <c r="G30" s="112">
        <v>4241</v>
      </c>
      <c r="H30" s="112">
        <v>5841</v>
      </c>
      <c r="I30" s="112">
        <v>6050</v>
      </c>
      <c r="J30" s="112">
        <v>6783</v>
      </c>
      <c r="K30" s="112">
        <v>7353</v>
      </c>
      <c r="L30" s="112">
        <v>9375</v>
      </c>
    </row>
    <row r="31" spans="1:12" ht="15">
      <c r="A31" s="13"/>
      <c r="B31" s="13"/>
      <c r="C31" s="13"/>
      <c r="D31" s="81">
        <v>400000</v>
      </c>
      <c r="E31" s="113">
        <v>600000</v>
      </c>
      <c r="F31" s="112">
        <v>4614</v>
      </c>
      <c r="G31" s="112">
        <v>4674</v>
      </c>
      <c r="H31" s="112">
        <v>6435</v>
      </c>
      <c r="I31" s="112">
        <v>6666</v>
      </c>
      <c r="J31" s="112">
        <v>7473</v>
      </c>
      <c r="K31" s="112">
        <v>8103</v>
      </c>
      <c r="L31" s="112">
        <v>10330</v>
      </c>
    </row>
    <row r="32" spans="1:12" ht="15">
      <c r="A32" s="13"/>
      <c r="B32" s="13"/>
      <c r="C32" s="13"/>
      <c r="D32" s="81">
        <v>500000</v>
      </c>
      <c r="E32" s="113">
        <v>800000</v>
      </c>
      <c r="F32" s="112">
        <v>5163</v>
      </c>
      <c r="G32" s="112">
        <v>5229</v>
      </c>
      <c r="H32" s="112">
        <v>7200</v>
      </c>
      <c r="I32" s="112">
        <v>7459</v>
      </c>
      <c r="J32" s="112">
        <v>8361</v>
      </c>
      <c r="K32" s="112">
        <v>9065</v>
      </c>
      <c r="L32" s="112">
        <v>11558</v>
      </c>
    </row>
    <row r="33" spans="1:12" ht="15">
      <c r="A33" s="13"/>
      <c r="B33" s="13"/>
      <c r="C33" s="13"/>
      <c r="D33" s="81">
        <v>600000</v>
      </c>
      <c r="E33" s="113">
        <v>1000000</v>
      </c>
      <c r="F33" s="112">
        <v>5406</v>
      </c>
      <c r="G33" s="112">
        <v>5475</v>
      </c>
      <c r="H33" s="112">
        <v>7540</v>
      </c>
      <c r="I33" s="112">
        <v>7811</v>
      </c>
      <c r="J33" s="112">
        <v>8755</v>
      </c>
      <c r="K33" s="112">
        <v>9493</v>
      </c>
      <c r="L33" s="112">
        <v>12103</v>
      </c>
    </row>
    <row r="34" spans="1:12" ht="15">
      <c r="A34" s="13" t="e">
        <f>IF('SMCP CALCULATOR'!J4&lt;&gt;"Retiring",DATEDIF((#REF!),A6,"M")-1,12)</f>
        <v>#REF!</v>
      </c>
      <c r="B34" s="13"/>
      <c r="C34" s="13"/>
      <c r="D34" s="81">
        <v>800000</v>
      </c>
      <c r="E34" s="113">
        <v>1200000</v>
      </c>
      <c r="F34" s="112">
        <v>5786</v>
      </c>
      <c r="G34" s="112">
        <v>5861</v>
      </c>
      <c r="H34" s="112">
        <v>8071</v>
      </c>
      <c r="I34" s="112">
        <v>8361</v>
      </c>
      <c r="J34" s="112">
        <v>9373</v>
      </c>
      <c r="K34" s="112">
        <v>10160</v>
      </c>
      <c r="L34" s="112">
        <v>12955</v>
      </c>
    </row>
    <row r="35" spans="1:12" ht="15">
      <c r="A35" s="43"/>
      <c r="B35" s="43"/>
      <c r="C35" s="43"/>
      <c r="D35" s="81">
        <v>1000000</v>
      </c>
      <c r="E35" s="113">
        <v>1500000</v>
      </c>
      <c r="F35" s="112">
        <v>6040</v>
      </c>
      <c r="G35" s="112">
        <v>6118</v>
      </c>
      <c r="H35" s="112">
        <v>8425</v>
      </c>
      <c r="I35" s="112">
        <v>8728</v>
      </c>
      <c r="J35" s="112">
        <v>9783</v>
      </c>
      <c r="K35" s="112">
        <v>10606</v>
      </c>
      <c r="L35" s="112">
        <v>13523</v>
      </c>
    </row>
    <row r="36" spans="1:12" ht="15">
      <c r="A36" s="13"/>
      <c r="B36" s="13"/>
      <c r="C36" s="13"/>
      <c r="D36" s="81">
        <v>1200000</v>
      </c>
      <c r="E36" s="113">
        <v>2000000</v>
      </c>
      <c r="F36" s="112">
        <v>6421</v>
      </c>
      <c r="G36" s="112">
        <v>6504</v>
      </c>
      <c r="H36" s="112">
        <v>8956</v>
      </c>
      <c r="I36" s="112">
        <v>9278</v>
      </c>
      <c r="J36" s="112">
        <v>10400</v>
      </c>
      <c r="K36" s="112">
        <v>11275</v>
      </c>
      <c r="L36" s="112">
        <v>14375</v>
      </c>
    </row>
    <row r="37" spans="1:12" ht="15">
      <c r="A37" s="13"/>
      <c r="B37" s="13"/>
      <c r="C37" s="13"/>
      <c r="D37" s="81">
        <v>1500000</v>
      </c>
      <c r="E37" s="113">
        <v>2500000</v>
      </c>
      <c r="F37" s="112">
        <v>6983</v>
      </c>
      <c r="G37" s="112">
        <v>7073</v>
      </c>
      <c r="H37" s="112">
        <v>9851</v>
      </c>
      <c r="I37" s="112">
        <v>10205</v>
      </c>
      <c r="J37" s="112">
        <v>11570</v>
      </c>
      <c r="K37" s="112">
        <v>12544</v>
      </c>
      <c r="L37" s="112">
        <v>15993</v>
      </c>
    </row>
    <row r="38" spans="1:12" ht="15">
      <c r="A38" s="13"/>
      <c r="B38" s="13"/>
      <c r="C38" s="13"/>
      <c r="D38" s="81" t="s">
        <v>54</v>
      </c>
      <c r="E38" s="113">
        <v>3000000</v>
      </c>
      <c r="F38" s="112">
        <v>7478</v>
      </c>
      <c r="G38" s="112">
        <v>7574</v>
      </c>
      <c r="H38" s="112">
        <v>10640</v>
      </c>
      <c r="I38" s="112">
        <v>11021</v>
      </c>
      <c r="J38" s="112">
        <v>12599</v>
      </c>
      <c r="K38" s="112">
        <v>13660</v>
      </c>
      <c r="L38" s="112">
        <v>17416</v>
      </c>
    </row>
    <row r="39" spans="1:12" ht="15">
      <c r="A39" s="13"/>
      <c r="B39" s="13"/>
      <c r="C39" s="13"/>
      <c r="D39" s="81" t="s">
        <v>55</v>
      </c>
      <c r="E39" s="113">
        <v>3500000</v>
      </c>
      <c r="F39" s="112">
        <v>7881</v>
      </c>
      <c r="G39" s="112">
        <v>7984</v>
      </c>
      <c r="H39" s="112">
        <v>11285</v>
      </c>
      <c r="I39" s="112">
        <v>11690</v>
      </c>
      <c r="J39" s="112">
        <v>13441</v>
      </c>
      <c r="K39" s="112">
        <v>14573</v>
      </c>
      <c r="L39" s="112">
        <v>18580</v>
      </c>
    </row>
    <row r="40" spans="1:12" ht="15">
      <c r="A40" s="13"/>
      <c r="B40" s="13"/>
      <c r="C40" s="13"/>
      <c r="D40" s="81" t="s">
        <v>56</v>
      </c>
      <c r="E40" s="113">
        <v>4000000</v>
      </c>
      <c r="F40" s="112">
        <v>8219</v>
      </c>
      <c r="G40" s="112">
        <v>8325</v>
      </c>
      <c r="H40" s="112">
        <v>11823</v>
      </c>
      <c r="I40" s="112">
        <v>12246</v>
      </c>
      <c r="J40" s="112">
        <v>14144</v>
      </c>
      <c r="K40" s="112">
        <v>15334</v>
      </c>
      <c r="L40" s="112">
        <v>19551</v>
      </c>
    </row>
    <row r="41" spans="1:12" ht="15">
      <c r="A41" s="13"/>
      <c r="B41" s="13"/>
      <c r="C41" s="13"/>
      <c r="D41" s="81" t="s">
        <v>57</v>
      </c>
      <c r="E41" s="113">
        <v>5000000</v>
      </c>
      <c r="F41" s="112">
        <v>8669</v>
      </c>
      <c r="G41" s="112">
        <v>8780</v>
      </c>
      <c r="H41" s="112">
        <v>12539</v>
      </c>
      <c r="I41" s="112">
        <v>12989</v>
      </c>
      <c r="J41" s="112">
        <v>15079</v>
      </c>
      <c r="K41" s="112">
        <v>16349</v>
      </c>
      <c r="L41" s="112">
        <v>20845</v>
      </c>
    </row>
    <row r="42" spans="1:12" ht="15">
      <c r="A42" s="13"/>
      <c r="B42" s="13"/>
      <c r="C42" s="13"/>
      <c r="D42" s="81" t="s">
        <v>58</v>
      </c>
      <c r="E42" s="114"/>
      <c r="F42" s="112"/>
      <c r="G42" s="112"/>
      <c r="H42" s="112"/>
      <c r="I42" s="112"/>
      <c r="J42" s="112"/>
      <c r="K42" s="112"/>
      <c r="L42" s="112"/>
    </row>
    <row r="43" spans="1:12" ht="15">
      <c r="A43" s="13"/>
      <c r="B43" s="13"/>
      <c r="C43" s="13"/>
      <c r="D43" s="81" t="s">
        <v>59</v>
      </c>
      <c r="E43" s="114"/>
      <c r="F43" s="112"/>
      <c r="G43" s="112"/>
      <c r="H43" s="112"/>
      <c r="I43" s="112"/>
      <c r="J43" s="112"/>
      <c r="K43" s="112"/>
      <c r="L43" s="112"/>
    </row>
    <row r="44" spans="1:12" ht="15">
      <c r="A44" s="13"/>
      <c r="B44" s="13"/>
      <c r="C44" s="13"/>
      <c r="D44" s="77"/>
      <c r="E44" s="104"/>
      <c r="F44" s="108"/>
      <c r="G44" s="108"/>
      <c r="H44" s="108"/>
      <c r="I44" s="108"/>
      <c r="J44" s="108"/>
      <c r="K44" s="108"/>
      <c r="L44" s="108"/>
    </row>
    <row r="45" spans="1:12" ht="15">
      <c r="A45" s="13"/>
      <c r="B45" s="13"/>
      <c r="C45" s="13"/>
      <c r="D45" s="77"/>
      <c r="E45" s="125" t="s">
        <v>220</v>
      </c>
      <c r="F45" s="126"/>
      <c r="G45" s="127"/>
      <c r="H45" s="117"/>
      <c r="I45" s="117"/>
      <c r="J45" s="117"/>
      <c r="K45" s="117"/>
      <c r="L45" s="117"/>
    </row>
    <row r="46" spans="1:12" ht="15">
      <c r="A46" s="13"/>
      <c r="B46" s="13"/>
      <c r="C46" s="13"/>
      <c r="D46" s="77"/>
      <c r="E46" s="115" t="s">
        <v>7</v>
      </c>
      <c r="F46" s="114" t="s">
        <v>8</v>
      </c>
      <c r="G46" s="114" t="s">
        <v>9</v>
      </c>
      <c r="H46" s="114" t="s">
        <v>10</v>
      </c>
      <c r="I46" s="114" t="s">
        <v>11</v>
      </c>
      <c r="J46" s="114" t="s">
        <v>12</v>
      </c>
      <c r="K46" s="114" t="s">
        <v>13</v>
      </c>
      <c r="L46" s="114" t="s">
        <v>14</v>
      </c>
    </row>
    <row r="47" spans="1:12" ht="15">
      <c r="A47" s="13"/>
      <c r="B47" s="13"/>
      <c r="C47" s="13"/>
      <c r="D47" s="77"/>
      <c r="E47" s="113">
        <v>300000</v>
      </c>
      <c r="F47" s="112">
        <v>1549</v>
      </c>
      <c r="G47" s="112">
        <v>1618</v>
      </c>
      <c r="H47" s="112">
        <v>2204</v>
      </c>
      <c r="I47" s="112">
        <v>2275</v>
      </c>
      <c r="J47" s="112">
        <v>2545</v>
      </c>
      <c r="K47" s="112">
        <v>2728</v>
      </c>
      <c r="L47" s="112">
        <v>3385</v>
      </c>
    </row>
    <row r="48" spans="1:12" ht="15">
      <c r="A48" s="13"/>
      <c r="B48" s="13"/>
      <c r="C48" s="13"/>
      <c r="D48" s="77"/>
      <c r="E48" s="113">
        <v>400000</v>
      </c>
      <c r="F48" s="112">
        <v>2104</v>
      </c>
      <c r="G48" s="112">
        <v>2193</v>
      </c>
      <c r="H48" s="112">
        <v>3001</v>
      </c>
      <c r="I48" s="112">
        <v>3105</v>
      </c>
      <c r="J48" s="112">
        <v>3474</v>
      </c>
      <c r="K48" s="112">
        <v>3723</v>
      </c>
      <c r="L48" s="112">
        <v>4606</v>
      </c>
    </row>
    <row r="49" spans="1:12" ht="15">
      <c r="A49" s="13"/>
      <c r="B49" s="13"/>
      <c r="C49" s="13"/>
      <c r="D49" s="77"/>
      <c r="E49" s="113">
        <v>500000</v>
      </c>
      <c r="F49" s="112">
        <v>2618</v>
      </c>
      <c r="G49" s="112">
        <v>2651</v>
      </c>
      <c r="H49" s="112">
        <v>3651</v>
      </c>
      <c r="I49" s="112">
        <v>3781</v>
      </c>
      <c r="J49" s="112">
        <v>4239</v>
      </c>
      <c r="K49" s="112">
        <v>4596</v>
      </c>
      <c r="L49" s="112">
        <v>5860</v>
      </c>
    </row>
    <row r="50" spans="1:12" ht="15">
      <c r="A50" s="13"/>
      <c r="B50" s="13"/>
      <c r="C50" s="13"/>
      <c r="D50" s="77"/>
      <c r="E50" s="113">
        <v>600000</v>
      </c>
      <c r="F50" s="112">
        <v>2884</v>
      </c>
      <c r="G50" s="112">
        <v>2921</v>
      </c>
      <c r="H50" s="112">
        <v>4023</v>
      </c>
      <c r="I50" s="112">
        <v>4166</v>
      </c>
      <c r="J50" s="112">
        <v>4671</v>
      </c>
      <c r="K50" s="112">
        <v>5064</v>
      </c>
      <c r="L50" s="112">
        <v>6456</v>
      </c>
    </row>
    <row r="51" spans="1:12" ht="15">
      <c r="A51" s="13"/>
      <c r="B51" s="13"/>
      <c r="C51" s="13"/>
      <c r="D51" s="77"/>
      <c r="E51" s="113">
        <v>800000</v>
      </c>
      <c r="F51" s="112">
        <v>3226</v>
      </c>
      <c r="G51" s="112">
        <v>3268</v>
      </c>
      <c r="H51" s="112">
        <v>4500</v>
      </c>
      <c r="I51" s="112">
        <v>4663</v>
      </c>
      <c r="J51" s="112">
        <v>5226</v>
      </c>
      <c r="K51" s="112">
        <v>5665</v>
      </c>
      <c r="L51" s="112">
        <v>7224</v>
      </c>
    </row>
    <row r="52" spans="1:12" ht="15">
      <c r="A52" s="13"/>
      <c r="B52" s="13"/>
      <c r="C52" s="13"/>
      <c r="D52" s="82"/>
      <c r="E52" s="113">
        <v>1000000</v>
      </c>
      <c r="F52" s="112">
        <v>3379</v>
      </c>
      <c r="G52" s="112">
        <v>3423</v>
      </c>
      <c r="H52" s="112">
        <v>4713</v>
      </c>
      <c r="I52" s="112">
        <v>4883</v>
      </c>
      <c r="J52" s="112">
        <v>5473</v>
      </c>
      <c r="K52" s="112">
        <v>5933</v>
      </c>
      <c r="L52" s="112">
        <v>7565</v>
      </c>
    </row>
    <row r="53" spans="1:12" ht="15">
      <c r="A53" s="13"/>
      <c r="B53" s="13"/>
      <c r="C53" s="13"/>
      <c r="D53" s="83"/>
      <c r="E53" s="113">
        <v>1200000</v>
      </c>
      <c r="F53" s="112">
        <v>3616</v>
      </c>
      <c r="G53" s="112">
        <v>3664</v>
      </c>
      <c r="H53" s="112">
        <v>5045</v>
      </c>
      <c r="I53" s="112">
        <v>5226</v>
      </c>
      <c r="J53" s="112">
        <v>5858</v>
      </c>
      <c r="K53" s="112">
        <v>6350</v>
      </c>
      <c r="L53" s="112">
        <v>8098</v>
      </c>
    </row>
    <row r="54" spans="1:12" ht="15">
      <c r="A54" s="13"/>
      <c r="B54" s="13"/>
      <c r="C54" s="13"/>
      <c r="D54" s="83"/>
      <c r="E54" s="113">
        <v>1500000</v>
      </c>
      <c r="F54" s="112">
        <v>3775</v>
      </c>
      <c r="G54" s="112">
        <v>3824</v>
      </c>
      <c r="H54" s="112">
        <v>5266</v>
      </c>
      <c r="I54" s="112">
        <v>5455</v>
      </c>
      <c r="J54" s="112">
        <v>6115</v>
      </c>
      <c r="K54" s="112">
        <v>6629</v>
      </c>
      <c r="L54" s="112">
        <v>8453</v>
      </c>
    </row>
    <row r="55" spans="1:12" ht="15">
      <c r="A55" s="13"/>
      <c r="B55" s="13"/>
      <c r="C55" s="13"/>
      <c r="D55" s="82"/>
      <c r="E55" s="113">
        <v>2000000</v>
      </c>
      <c r="F55" s="112">
        <v>4014</v>
      </c>
      <c r="G55" s="112">
        <v>4065</v>
      </c>
      <c r="H55" s="112">
        <v>5598</v>
      </c>
      <c r="I55" s="112">
        <v>5799</v>
      </c>
      <c r="J55" s="112">
        <v>6500</v>
      </c>
      <c r="K55" s="112">
        <v>7048</v>
      </c>
      <c r="L55" s="112">
        <v>8985</v>
      </c>
    </row>
    <row r="56" spans="1:12" ht="15">
      <c r="A56" s="13"/>
      <c r="B56" s="13"/>
      <c r="C56" s="13"/>
      <c r="D56" s="80"/>
      <c r="E56" s="113">
        <v>2500000</v>
      </c>
      <c r="F56" s="112">
        <v>4364</v>
      </c>
      <c r="G56" s="112">
        <v>4421</v>
      </c>
      <c r="H56" s="112">
        <v>6158</v>
      </c>
      <c r="I56" s="112">
        <v>6379</v>
      </c>
      <c r="J56" s="112">
        <v>7231</v>
      </c>
      <c r="K56" s="112">
        <v>7840</v>
      </c>
      <c r="L56" s="112">
        <v>9995</v>
      </c>
    </row>
    <row r="57" spans="1:12" ht="15">
      <c r="A57" s="13"/>
      <c r="B57" s="13"/>
      <c r="C57" s="13"/>
      <c r="D57" s="80"/>
      <c r="E57" s="113">
        <v>3000000</v>
      </c>
      <c r="F57" s="112">
        <v>4674</v>
      </c>
      <c r="G57" s="112">
        <v>4734</v>
      </c>
      <c r="H57" s="112">
        <v>6650</v>
      </c>
      <c r="I57" s="112">
        <v>6889</v>
      </c>
      <c r="J57" s="112">
        <v>7874</v>
      </c>
      <c r="K57" s="112">
        <v>8538</v>
      </c>
      <c r="L57" s="112">
        <v>10885</v>
      </c>
    </row>
    <row r="58" spans="1:12" ht="15">
      <c r="A58" s="13"/>
      <c r="B58" s="13"/>
      <c r="C58" s="13"/>
      <c r="D58" s="80"/>
      <c r="E58" s="113">
        <v>3500000</v>
      </c>
      <c r="F58" s="112">
        <v>4926</v>
      </c>
      <c r="G58" s="112">
        <v>4990</v>
      </c>
      <c r="H58" s="112">
        <v>7053</v>
      </c>
      <c r="I58" s="112">
        <v>7306</v>
      </c>
      <c r="J58" s="112">
        <v>8401</v>
      </c>
      <c r="K58" s="112">
        <v>9108</v>
      </c>
      <c r="L58" s="112">
        <v>11613</v>
      </c>
    </row>
    <row r="59" spans="1:12" ht="15">
      <c r="A59" s="13"/>
      <c r="B59" s="13"/>
      <c r="C59" s="13"/>
      <c r="D59" s="80"/>
      <c r="E59" s="113">
        <v>4000000</v>
      </c>
      <c r="F59" s="112">
        <v>5136</v>
      </c>
      <c r="G59" s="112">
        <v>5204</v>
      </c>
      <c r="H59" s="112">
        <v>7389</v>
      </c>
      <c r="I59" s="112">
        <v>7654</v>
      </c>
      <c r="J59" s="112">
        <v>8840</v>
      </c>
      <c r="K59" s="112">
        <v>9584</v>
      </c>
      <c r="L59" s="112">
        <v>12219</v>
      </c>
    </row>
    <row r="60" spans="1:12" ht="15">
      <c r="A60" s="13"/>
      <c r="B60" s="13"/>
      <c r="C60" s="13"/>
      <c r="D60" s="80"/>
      <c r="E60" s="113">
        <v>5000000</v>
      </c>
      <c r="F60" s="112">
        <v>5418</v>
      </c>
      <c r="G60" s="112">
        <v>5488</v>
      </c>
      <c r="H60" s="112">
        <v>7836</v>
      </c>
      <c r="I60" s="112">
        <v>8118</v>
      </c>
      <c r="J60" s="112">
        <v>9425</v>
      </c>
      <c r="K60" s="112">
        <v>10218</v>
      </c>
      <c r="L60" s="112">
        <v>13028</v>
      </c>
    </row>
    <row r="61" spans="1:12" ht="15">
      <c r="A61" s="13"/>
      <c r="B61" s="13"/>
      <c r="C61" s="13"/>
      <c r="D61" s="80"/>
      <c r="E61" s="114"/>
      <c r="F61" s="112"/>
      <c r="G61" s="112"/>
      <c r="H61" s="112"/>
      <c r="I61" s="112"/>
      <c r="J61" s="112"/>
      <c r="K61" s="112"/>
      <c r="L61" s="112"/>
    </row>
    <row r="62" spans="1:12" ht="15">
      <c r="A62" s="13"/>
      <c r="B62" s="13"/>
      <c r="C62" s="13"/>
      <c r="D62" s="80"/>
      <c r="E62" s="102"/>
      <c r="F62" s="106"/>
      <c r="G62" s="106"/>
      <c r="H62" s="106"/>
      <c r="I62" s="106"/>
      <c r="J62" s="106"/>
      <c r="K62" s="106"/>
      <c r="L62" s="106"/>
    </row>
    <row r="63" spans="1:12" ht="15">
      <c r="A63" s="13"/>
      <c r="B63" s="13"/>
      <c r="C63" s="13"/>
      <c r="D63" s="80"/>
      <c r="E63" s="101" t="s">
        <v>60</v>
      </c>
      <c r="F63" s="116"/>
      <c r="G63" s="116"/>
      <c r="H63" s="119"/>
      <c r="I63" s="119"/>
      <c r="J63" s="119"/>
      <c r="K63" s="119"/>
      <c r="L63" s="119"/>
    </row>
    <row r="64" spans="1:12" ht="15">
      <c r="A64" s="13"/>
      <c r="B64" s="13"/>
      <c r="C64" s="13"/>
      <c r="D64" s="80"/>
      <c r="E64" s="115" t="s">
        <v>7</v>
      </c>
      <c r="F64" s="114" t="s">
        <v>8</v>
      </c>
      <c r="G64" s="114" t="s">
        <v>9</v>
      </c>
      <c r="H64" s="114" t="s">
        <v>10</v>
      </c>
      <c r="I64" s="114" t="s">
        <v>11</v>
      </c>
      <c r="J64" s="114" t="s">
        <v>12</v>
      </c>
      <c r="K64" s="114" t="s">
        <v>13</v>
      </c>
      <c r="L64" s="114" t="s">
        <v>14</v>
      </c>
    </row>
    <row r="65" spans="1:12" ht="15">
      <c r="A65" s="13"/>
      <c r="B65" s="13"/>
      <c r="C65" s="13"/>
      <c r="D65" s="80"/>
      <c r="E65" s="113">
        <v>300000</v>
      </c>
      <c r="F65" s="112">
        <v>4848</v>
      </c>
      <c r="G65" s="112">
        <v>4848</v>
      </c>
      <c r="H65" s="112">
        <v>4848</v>
      </c>
      <c r="I65" s="112">
        <v>5006</v>
      </c>
      <c r="J65" s="112">
        <v>5598</v>
      </c>
      <c r="K65" s="112">
        <v>6000</v>
      </c>
      <c r="L65" s="112">
        <v>7446</v>
      </c>
    </row>
    <row r="66" spans="1:12" ht="15">
      <c r="A66" s="13"/>
      <c r="B66" s="13"/>
      <c r="C66" s="13"/>
      <c r="D66" s="80"/>
      <c r="E66" s="113">
        <v>400000</v>
      </c>
      <c r="F66" s="112">
        <v>6603</v>
      </c>
      <c r="G66" s="112">
        <v>6603</v>
      </c>
      <c r="H66" s="112">
        <v>6603</v>
      </c>
      <c r="I66" s="112">
        <v>6831</v>
      </c>
      <c r="J66" s="112">
        <v>7643</v>
      </c>
      <c r="K66" s="112">
        <v>8190</v>
      </c>
      <c r="L66" s="112">
        <v>10135</v>
      </c>
    </row>
    <row r="67" spans="1:12" ht="15">
      <c r="A67" s="13"/>
      <c r="B67" s="13"/>
      <c r="C67" s="13"/>
      <c r="D67" s="80"/>
      <c r="E67" s="113">
        <v>500000</v>
      </c>
      <c r="F67" s="112">
        <v>8031</v>
      </c>
      <c r="G67" s="112">
        <v>8031</v>
      </c>
      <c r="H67" s="112">
        <v>8031</v>
      </c>
      <c r="I67" s="112">
        <v>8320</v>
      </c>
      <c r="J67" s="112">
        <v>9326</v>
      </c>
      <c r="K67" s="112">
        <v>10110</v>
      </c>
      <c r="L67" s="112">
        <v>12891</v>
      </c>
    </row>
    <row r="68" spans="1:12" ht="15">
      <c r="A68" s="13"/>
      <c r="B68" s="13"/>
      <c r="C68" s="13"/>
      <c r="D68" s="80"/>
      <c r="E68" s="113">
        <v>600000</v>
      </c>
      <c r="F68" s="112">
        <v>8849</v>
      </c>
      <c r="G68" s="112">
        <v>8849</v>
      </c>
      <c r="H68" s="112">
        <v>8849</v>
      </c>
      <c r="I68" s="112">
        <v>9166</v>
      </c>
      <c r="J68" s="112">
        <v>10275</v>
      </c>
      <c r="K68" s="112">
        <v>11140</v>
      </c>
      <c r="L68" s="112">
        <v>14204</v>
      </c>
    </row>
    <row r="69" spans="1:12" ht="15">
      <c r="A69" s="13"/>
      <c r="B69" s="13"/>
      <c r="C69" s="13"/>
      <c r="D69" s="80"/>
      <c r="E69" s="113">
        <v>800000</v>
      </c>
      <c r="F69" s="112">
        <v>9900</v>
      </c>
      <c r="G69" s="112">
        <v>9900</v>
      </c>
      <c r="H69" s="112">
        <v>9900</v>
      </c>
      <c r="I69" s="112">
        <v>10256</v>
      </c>
      <c r="J69" s="112">
        <v>11496</v>
      </c>
      <c r="K69" s="112">
        <v>12464</v>
      </c>
      <c r="L69" s="112">
        <v>15891</v>
      </c>
    </row>
    <row r="70" spans="1:12" ht="15">
      <c r="A70" s="13"/>
      <c r="B70" s="13"/>
      <c r="C70" s="13"/>
      <c r="D70" s="80"/>
      <c r="E70" s="113">
        <v>1000000</v>
      </c>
      <c r="F70" s="112">
        <v>10368</v>
      </c>
      <c r="G70" s="112">
        <v>10368</v>
      </c>
      <c r="H70" s="112">
        <v>10368</v>
      </c>
      <c r="I70" s="112">
        <v>10740</v>
      </c>
      <c r="J70" s="112">
        <v>12039</v>
      </c>
      <c r="K70" s="112">
        <v>13053</v>
      </c>
      <c r="L70" s="112">
        <v>16641</v>
      </c>
    </row>
    <row r="71" spans="1:12" ht="15">
      <c r="A71" s="13"/>
      <c r="B71" s="13"/>
      <c r="C71" s="13"/>
      <c r="D71" s="80"/>
      <c r="E71" s="113">
        <v>1200000</v>
      </c>
      <c r="F71" s="112">
        <v>11098</v>
      </c>
      <c r="G71" s="112">
        <v>11098</v>
      </c>
      <c r="H71" s="112">
        <v>11098</v>
      </c>
      <c r="I71" s="112">
        <v>11496</v>
      </c>
      <c r="J71" s="112">
        <v>12886</v>
      </c>
      <c r="K71" s="112">
        <v>13971</v>
      </c>
      <c r="L71" s="112">
        <v>17814</v>
      </c>
    </row>
    <row r="72" spans="1:12" ht="15">
      <c r="A72" s="13"/>
      <c r="B72" s="13"/>
      <c r="C72" s="13"/>
      <c r="D72" s="80"/>
      <c r="E72" s="113">
        <v>1500000</v>
      </c>
      <c r="F72" s="112">
        <v>11585</v>
      </c>
      <c r="G72" s="112">
        <v>11585</v>
      </c>
      <c r="H72" s="112">
        <v>11585</v>
      </c>
      <c r="I72" s="112">
        <v>12001</v>
      </c>
      <c r="J72" s="112">
        <v>13451</v>
      </c>
      <c r="K72" s="112">
        <v>14584</v>
      </c>
      <c r="L72" s="112">
        <v>18594</v>
      </c>
    </row>
    <row r="73" spans="1:12" ht="15">
      <c r="A73" s="13"/>
      <c r="B73" s="13"/>
      <c r="C73" s="13"/>
      <c r="D73" s="80"/>
      <c r="E73" s="113">
        <v>2000000</v>
      </c>
      <c r="F73" s="112">
        <v>12315</v>
      </c>
      <c r="G73" s="112">
        <v>12315</v>
      </c>
      <c r="H73" s="112">
        <v>12315</v>
      </c>
      <c r="I73" s="112">
        <v>12756</v>
      </c>
      <c r="J73" s="112">
        <v>14299</v>
      </c>
      <c r="K73" s="112">
        <v>15504</v>
      </c>
      <c r="L73" s="112">
        <v>19766</v>
      </c>
    </row>
    <row r="74" spans="1:12" ht="15">
      <c r="A74" s="13"/>
      <c r="B74" s="13"/>
      <c r="C74" s="13"/>
      <c r="D74" s="80"/>
      <c r="E74" s="113">
        <v>2500000</v>
      </c>
      <c r="F74" s="115">
        <v>13546</v>
      </c>
      <c r="G74" s="115">
        <v>13546</v>
      </c>
      <c r="H74" s="115">
        <v>13546</v>
      </c>
      <c r="I74" s="115">
        <v>14033</v>
      </c>
      <c r="J74" s="115">
        <v>15908</v>
      </c>
      <c r="K74" s="115">
        <v>17248</v>
      </c>
      <c r="L74" s="115">
        <v>21990</v>
      </c>
    </row>
    <row r="75" spans="1:12" ht="15">
      <c r="A75" s="13"/>
      <c r="B75" s="13"/>
      <c r="C75" s="13"/>
      <c r="D75" s="80"/>
      <c r="E75" s="113">
        <v>3000000</v>
      </c>
      <c r="F75" s="115">
        <v>14630</v>
      </c>
      <c r="G75" s="115">
        <v>14630</v>
      </c>
      <c r="H75" s="115">
        <v>14630</v>
      </c>
      <c r="I75" s="115">
        <v>15155</v>
      </c>
      <c r="J75" s="115">
        <v>17324</v>
      </c>
      <c r="K75" s="115">
        <v>18783</v>
      </c>
      <c r="L75" s="115">
        <v>23948</v>
      </c>
    </row>
    <row r="76" spans="1:12" ht="15">
      <c r="A76" s="13"/>
      <c r="B76" s="13"/>
      <c r="C76" s="13"/>
      <c r="D76" s="80"/>
      <c r="E76" s="113">
        <v>3500000</v>
      </c>
      <c r="F76" s="115">
        <v>15516</v>
      </c>
      <c r="G76" s="115">
        <v>15516</v>
      </c>
      <c r="H76" s="115">
        <v>15516</v>
      </c>
      <c r="I76" s="115">
        <v>16074</v>
      </c>
      <c r="J76" s="115">
        <v>18481</v>
      </c>
      <c r="K76" s="115">
        <v>20038</v>
      </c>
      <c r="L76" s="115">
        <v>25548</v>
      </c>
    </row>
    <row r="77" spans="1:12" ht="15">
      <c r="A77" s="13"/>
      <c r="B77" s="13"/>
      <c r="C77" s="13"/>
      <c r="D77" s="80"/>
      <c r="E77" s="113">
        <v>4000000</v>
      </c>
      <c r="F77" s="115">
        <v>16255</v>
      </c>
      <c r="G77" s="115">
        <v>16255</v>
      </c>
      <c r="H77" s="115">
        <v>16255</v>
      </c>
      <c r="I77" s="115">
        <v>16839</v>
      </c>
      <c r="J77" s="115">
        <v>19448</v>
      </c>
      <c r="K77" s="115">
        <v>21084</v>
      </c>
      <c r="L77" s="115">
        <v>26883</v>
      </c>
    </row>
    <row r="78" spans="1:12" ht="15">
      <c r="A78" s="13"/>
      <c r="B78" s="13"/>
      <c r="C78" s="13"/>
      <c r="D78" s="80"/>
      <c r="E78" s="113">
        <v>5000000</v>
      </c>
      <c r="F78" s="115">
        <v>17240</v>
      </c>
      <c r="G78" s="115">
        <v>17240</v>
      </c>
      <c r="H78" s="115">
        <v>17240</v>
      </c>
      <c r="I78" s="115">
        <v>17859</v>
      </c>
      <c r="J78" s="115">
        <v>20734</v>
      </c>
      <c r="K78" s="115">
        <v>22480</v>
      </c>
      <c r="L78" s="115">
        <v>28661</v>
      </c>
    </row>
    <row r="81" spans="5:12" ht="15">
      <c r="E81" s="121" t="s">
        <v>221</v>
      </c>
      <c r="F81" s="122"/>
      <c r="G81" s="123"/>
      <c r="H81" s="123"/>
      <c r="I81" s="25"/>
      <c r="J81" s="25"/>
      <c r="K81" s="25"/>
      <c r="L81" s="25"/>
    </row>
    <row r="82" spans="5:12" ht="15">
      <c r="E82" s="26" t="s">
        <v>7</v>
      </c>
      <c r="F82" s="27" t="s">
        <v>8</v>
      </c>
      <c r="G82" s="27" t="s">
        <v>9</v>
      </c>
      <c r="H82" s="27" t="s">
        <v>10</v>
      </c>
      <c r="I82" s="27" t="s">
        <v>11</v>
      </c>
      <c r="J82" s="27" t="s">
        <v>12</v>
      </c>
      <c r="K82" s="27" t="s">
        <v>13</v>
      </c>
      <c r="L82" s="27" t="s">
        <v>14</v>
      </c>
    </row>
    <row r="83" spans="5:12" ht="15">
      <c r="E83" s="26">
        <v>300000</v>
      </c>
      <c r="F83" s="30">
        <v>1831</v>
      </c>
      <c r="G83" s="30">
        <v>1912</v>
      </c>
      <c r="H83" s="30">
        <v>2605</v>
      </c>
      <c r="I83" s="30">
        <v>2689</v>
      </c>
      <c r="J83" s="30">
        <v>3008</v>
      </c>
      <c r="K83" s="30">
        <v>3224</v>
      </c>
      <c r="L83" s="30">
        <v>4001</v>
      </c>
    </row>
    <row r="84" spans="5:12" ht="15">
      <c r="E84" s="26">
        <v>400000</v>
      </c>
      <c r="F84" s="30">
        <v>2487</v>
      </c>
      <c r="G84" s="30">
        <v>2592</v>
      </c>
      <c r="H84" s="30">
        <v>3547</v>
      </c>
      <c r="I84" s="30">
        <v>3670</v>
      </c>
      <c r="J84" s="30">
        <v>4106</v>
      </c>
      <c r="K84" s="30">
        <v>4400</v>
      </c>
      <c r="L84" s="30">
        <v>5445</v>
      </c>
    </row>
    <row r="85" spans="5:12" ht="15">
      <c r="E85" s="26">
        <v>500000</v>
      </c>
      <c r="F85" s="30">
        <v>3094</v>
      </c>
      <c r="G85" s="30">
        <v>3134</v>
      </c>
      <c r="H85" s="30">
        <v>4316</v>
      </c>
      <c r="I85" s="30">
        <v>4469</v>
      </c>
      <c r="J85" s="30">
        <v>5010</v>
      </c>
      <c r="K85" s="30">
        <v>5433</v>
      </c>
      <c r="L85" s="30">
        <v>6927</v>
      </c>
    </row>
    <row r="86" spans="5:12" ht="15">
      <c r="E86" s="26">
        <v>600000</v>
      </c>
      <c r="F86" s="30">
        <v>3409</v>
      </c>
      <c r="G86" s="30">
        <v>3453</v>
      </c>
      <c r="H86" s="30">
        <v>4755</v>
      </c>
      <c r="I86" s="30">
        <v>4925</v>
      </c>
      <c r="J86" s="30">
        <v>5521</v>
      </c>
      <c r="K86" s="30">
        <v>5985</v>
      </c>
      <c r="L86" s="30">
        <v>7631</v>
      </c>
    </row>
    <row r="87" spans="5:12" ht="15">
      <c r="E87" s="26">
        <v>800000</v>
      </c>
      <c r="F87" s="30">
        <v>3813</v>
      </c>
      <c r="G87" s="30">
        <v>3862</v>
      </c>
      <c r="H87" s="30">
        <v>5319</v>
      </c>
      <c r="I87" s="30">
        <v>5511</v>
      </c>
      <c r="J87" s="30">
        <v>6177</v>
      </c>
      <c r="K87" s="30">
        <v>6696</v>
      </c>
      <c r="L87" s="30">
        <v>8538</v>
      </c>
    </row>
    <row r="88" spans="5:12" ht="15">
      <c r="E88" s="26">
        <v>1000000</v>
      </c>
      <c r="F88" s="30">
        <v>3994</v>
      </c>
      <c r="G88" s="30">
        <v>4045</v>
      </c>
      <c r="H88" s="30">
        <v>5570</v>
      </c>
      <c r="I88" s="30">
        <v>5771</v>
      </c>
      <c r="J88" s="30">
        <v>6468</v>
      </c>
      <c r="K88" s="30">
        <v>7012</v>
      </c>
      <c r="L88" s="30">
        <v>8942</v>
      </c>
    </row>
    <row r="89" spans="5:12" ht="15">
      <c r="E89" s="26">
        <v>1200000</v>
      </c>
      <c r="F89" s="30">
        <v>4274</v>
      </c>
      <c r="G89" s="30">
        <v>4331</v>
      </c>
      <c r="H89" s="30">
        <v>5963</v>
      </c>
      <c r="I89" s="30">
        <v>6177</v>
      </c>
      <c r="J89" s="30">
        <v>6924</v>
      </c>
      <c r="K89" s="30">
        <v>7506</v>
      </c>
      <c r="L89" s="30">
        <v>9571</v>
      </c>
    </row>
    <row r="90" spans="5:12" ht="15">
      <c r="E90" s="26">
        <v>1500000</v>
      </c>
      <c r="F90" s="30">
        <v>4462</v>
      </c>
      <c r="G90" s="30">
        <v>4520</v>
      </c>
      <c r="H90" s="30">
        <v>6225</v>
      </c>
      <c r="I90" s="30">
        <v>6448</v>
      </c>
      <c r="J90" s="30">
        <v>7228</v>
      </c>
      <c r="K90" s="30">
        <v>7835</v>
      </c>
      <c r="L90" s="30">
        <v>9991</v>
      </c>
    </row>
    <row r="91" spans="5:12" ht="15">
      <c r="E91" s="26">
        <v>2000000</v>
      </c>
      <c r="F91" s="30">
        <v>4744</v>
      </c>
      <c r="G91" s="30">
        <v>4805</v>
      </c>
      <c r="H91" s="30">
        <v>6616</v>
      </c>
      <c r="I91" s="30">
        <v>6854</v>
      </c>
      <c r="J91" s="30">
        <v>7683</v>
      </c>
      <c r="K91" s="30">
        <v>8330</v>
      </c>
      <c r="L91" s="30">
        <v>10620</v>
      </c>
    </row>
    <row r="92" spans="5:12" ht="15">
      <c r="E92" s="26">
        <v>2500000</v>
      </c>
      <c r="F92" s="30">
        <v>5158</v>
      </c>
      <c r="G92" s="30">
        <v>5226</v>
      </c>
      <c r="H92" s="30">
        <v>7278</v>
      </c>
      <c r="I92" s="30">
        <v>7540</v>
      </c>
      <c r="J92" s="30">
        <v>8547</v>
      </c>
      <c r="K92" s="30">
        <v>9267</v>
      </c>
      <c r="L92" s="30">
        <v>11814</v>
      </c>
    </row>
    <row r="93" spans="5:12" ht="15">
      <c r="E93" s="26">
        <v>3000000</v>
      </c>
      <c r="F93" s="30">
        <v>5524</v>
      </c>
      <c r="G93" s="30">
        <v>5595</v>
      </c>
      <c r="H93" s="30">
        <v>7860</v>
      </c>
      <c r="I93" s="30">
        <v>8143</v>
      </c>
      <c r="J93" s="30">
        <v>9307</v>
      </c>
      <c r="K93" s="30">
        <v>10091</v>
      </c>
      <c r="L93" s="30">
        <v>12866</v>
      </c>
    </row>
    <row r="94" spans="5:12" ht="15">
      <c r="E94" s="26">
        <v>3500000</v>
      </c>
      <c r="F94" s="30">
        <v>5823</v>
      </c>
      <c r="G94" s="30">
        <v>5898</v>
      </c>
      <c r="H94" s="30">
        <v>8336</v>
      </c>
      <c r="I94" s="30">
        <v>8636</v>
      </c>
      <c r="J94" s="30">
        <v>9930</v>
      </c>
      <c r="K94" s="30">
        <v>10765</v>
      </c>
      <c r="L94" s="30">
        <v>13726</v>
      </c>
    </row>
    <row r="95" spans="5:12" ht="15">
      <c r="E95" s="26">
        <v>4000000</v>
      </c>
      <c r="F95" s="30">
        <v>6071</v>
      </c>
      <c r="G95" s="30">
        <v>6151</v>
      </c>
      <c r="H95" s="30">
        <v>8734</v>
      </c>
      <c r="I95" s="30">
        <v>9047</v>
      </c>
      <c r="J95" s="30">
        <v>10449</v>
      </c>
      <c r="K95" s="30">
        <v>11328</v>
      </c>
      <c r="L95" s="30">
        <v>14443</v>
      </c>
    </row>
    <row r="96" spans="5:12" ht="15">
      <c r="E96" s="26">
        <v>5000000</v>
      </c>
      <c r="F96" s="30">
        <v>6403</v>
      </c>
      <c r="G96" s="30">
        <v>6486</v>
      </c>
      <c r="H96" s="30">
        <v>9262</v>
      </c>
      <c r="I96" s="30">
        <v>9595</v>
      </c>
      <c r="J96" s="30">
        <v>11140</v>
      </c>
      <c r="K96" s="30">
        <v>12077</v>
      </c>
      <c r="L96" s="30">
        <v>15399</v>
      </c>
    </row>
  </sheetData>
  <sheetProtection selectLockedCells="1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100"/>
  <sheetViews>
    <sheetView workbookViewId="0">
      <selection activeCell="A38" sqref="A38"/>
    </sheetView>
  </sheetViews>
  <sheetFormatPr defaultColWidth="9" defaultRowHeight="12.75"/>
  <cols>
    <col min="1" max="1" width="14.85546875" style="88" customWidth="1"/>
    <col min="2" max="2" width="15.5703125" style="88" customWidth="1"/>
    <col min="3" max="3" width="20.140625" style="88" customWidth="1"/>
    <col min="4" max="4" width="27.5703125" style="88" customWidth="1"/>
    <col min="5" max="256" width="9" style="88"/>
    <col min="257" max="257" width="14.85546875" style="88" customWidth="1"/>
    <col min="258" max="258" width="15.5703125" style="88" customWidth="1"/>
    <col min="259" max="259" width="20.140625" style="88" customWidth="1"/>
    <col min="260" max="260" width="27.5703125" style="88" customWidth="1"/>
    <col min="261" max="512" width="9" style="88"/>
    <col min="513" max="513" width="14.85546875" style="88" customWidth="1"/>
    <col min="514" max="514" width="15.5703125" style="88" customWidth="1"/>
    <col min="515" max="515" width="20.140625" style="88" customWidth="1"/>
    <col min="516" max="516" width="27.5703125" style="88" customWidth="1"/>
    <col min="517" max="768" width="9" style="88"/>
    <col min="769" max="769" width="14.85546875" style="88" customWidth="1"/>
    <col min="770" max="770" width="15.5703125" style="88" customWidth="1"/>
    <col min="771" max="771" width="20.140625" style="88" customWidth="1"/>
    <col min="772" max="772" width="27.5703125" style="88" customWidth="1"/>
    <col min="773" max="1024" width="9" style="88"/>
    <col min="1025" max="1025" width="14.85546875" style="88" customWidth="1"/>
    <col min="1026" max="1026" width="15.5703125" style="88" customWidth="1"/>
    <col min="1027" max="1027" width="20.140625" style="88" customWidth="1"/>
    <col min="1028" max="1028" width="27.5703125" style="88" customWidth="1"/>
    <col min="1029" max="1280" width="9" style="88"/>
    <col min="1281" max="1281" width="14.85546875" style="88" customWidth="1"/>
    <col min="1282" max="1282" width="15.5703125" style="88" customWidth="1"/>
    <col min="1283" max="1283" width="20.140625" style="88" customWidth="1"/>
    <col min="1284" max="1284" width="27.5703125" style="88" customWidth="1"/>
    <col min="1285" max="1536" width="9" style="88"/>
    <col min="1537" max="1537" width="14.85546875" style="88" customWidth="1"/>
    <col min="1538" max="1538" width="15.5703125" style="88" customWidth="1"/>
    <col min="1539" max="1539" width="20.140625" style="88" customWidth="1"/>
    <col min="1540" max="1540" width="27.5703125" style="88" customWidth="1"/>
    <col min="1541" max="1792" width="9" style="88"/>
    <col min="1793" max="1793" width="14.85546875" style="88" customWidth="1"/>
    <col min="1794" max="1794" width="15.5703125" style="88" customWidth="1"/>
    <col min="1795" max="1795" width="20.140625" style="88" customWidth="1"/>
    <col min="1796" max="1796" width="27.5703125" style="88" customWidth="1"/>
    <col min="1797" max="2048" width="9" style="88"/>
    <col min="2049" max="2049" width="14.85546875" style="88" customWidth="1"/>
    <col min="2050" max="2050" width="15.5703125" style="88" customWidth="1"/>
    <col min="2051" max="2051" width="20.140625" style="88" customWidth="1"/>
    <col min="2052" max="2052" width="27.5703125" style="88" customWidth="1"/>
    <col min="2053" max="2304" width="9" style="88"/>
    <col min="2305" max="2305" width="14.85546875" style="88" customWidth="1"/>
    <col min="2306" max="2306" width="15.5703125" style="88" customWidth="1"/>
    <col min="2307" max="2307" width="20.140625" style="88" customWidth="1"/>
    <col min="2308" max="2308" width="27.5703125" style="88" customWidth="1"/>
    <col min="2309" max="2560" width="9" style="88"/>
    <col min="2561" max="2561" width="14.85546875" style="88" customWidth="1"/>
    <col min="2562" max="2562" width="15.5703125" style="88" customWidth="1"/>
    <col min="2563" max="2563" width="20.140625" style="88" customWidth="1"/>
    <col min="2564" max="2564" width="27.5703125" style="88" customWidth="1"/>
    <col min="2565" max="2816" width="9" style="88"/>
    <col min="2817" max="2817" width="14.85546875" style="88" customWidth="1"/>
    <col min="2818" max="2818" width="15.5703125" style="88" customWidth="1"/>
    <col min="2819" max="2819" width="20.140625" style="88" customWidth="1"/>
    <col min="2820" max="2820" width="27.5703125" style="88" customWidth="1"/>
    <col min="2821" max="3072" width="9" style="88"/>
    <col min="3073" max="3073" width="14.85546875" style="88" customWidth="1"/>
    <col min="3074" max="3074" width="15.5703125" style="88" customWidth="1"/>
    <col min="3075" max="3075" width="20.140625" style="88" customWidth="1"/>
    <col min="3076" max="3076" width="27.5703125" style="88" customWidth="1"/>
    <col min="3077" max="3328" width="9" style="88"/>
    <col min="3329" max="3329" width="14.85546875" style="88" customWidth="1"/>
    <col min="3330" max="3330" width="15.5703125" style="88" customWidth="1"/>
    <col min="3331" max="3331" width="20.140625" style="88" customWidth="1"/>
    <col min="3332" max="3332" width="27.5703125" style="88" customWidth="1"/>
    <col min="3333" max="3584" width="9" style="88"/>
    <col min="3585" max="3585" width="14.85546875" style="88" customWidth="1"/>
    <col min="3586" max="3586" width="15.5703125" style="88" customWidth="1"/>
    <col min="3587" max="3587" width="20.140625" style="88" customWidth="1"/>
    <col min="3588" max="3588" width="27.5703125" style="88" customWidth="1"/>
    <col min="3589" max="3840" width="9" style="88"/>
    <col min="3841" max="3841" width="14.85546875" style="88" customWidth="1"/>
    <col min="3842" max="3842" width="15.5703125" style="88" customWidth="1"/>
    <col min="3843" max="3843" width="20.140625" style="88" customWidth="1"/>
    <col min="3844" max="3844" width="27.5703125" style="88" customWidth="1"/>
    <col min="3845" max="4096" width="9" style="88"/>
    <col min="4097" max="4097" width="14.85546875" style="88" customWidth="1"/>
    <col min="4098" max="4098" width="15.5703125" style="88" customWidth="1"/>
    <col min="4099" max="4099" width="20.140625" style="88" customWidth="1"/>
    <col min="4100" max="4100" width="27.5703125" style="88" customWidth="1"/>
    <col min="4101" max="4352" width="9" style="88"/>
    <col min="4353" max="4353" width="14.85546875" style="88" customWidth="1"/>
    <col min="4354" max="4354" width="15.5703125" style="88" customWidth="1"/>
    <col min="4355" max="4355" width="20.140625" style="88" customWidth="1"/>
    <col min="4356" max="4356" width="27.5703125" style="88" customWidth="1"/>
    <col min="4357" max="4608" width="9" style="88"/>
    <col min="4609" max="4609" width="14.85546875" style="88" customWidth="1"/>
    <col min="4610" max="4610" width="15.5703125" style="88" customWidth="1"/>
    <col min="4611" max="4611" width="20.140625" style="88" customWidth="1"/>
    <col min="4612" max="4612" width="27.5703125" style="88" customWidth="1"/>
    <col min="4613" max="4864" width="9" style="88"/>
    <col min="4865" max="4865" width="14.85546875" style="88" customWidth="1"/>
    <col min="4866" max="4866" width="15.5703125" style="88" customWidth="1"/>
    <col min="4867" max="4867" width="20.140625" style="88" customWidth="1"/>
    <col min="4868" max="4868" width="27.5703125" style="88" customWidth="1"/>
    <col min="4869" max="5120" width="9" style="88"/>
    <col min="5121" max="5121" width="14.85546875" style="88" customWidth="1"/>
    <col min="5122" max="5122" width="15.5703125" style="88" customWidth="1"/>
    <col min="5123" max="5123" width="20.140625" style="88" customWidth="1"/>
    <col min="5124" max="5124" width="27.5703125" style="88" customWidth="1"/>
    <col min="5125" max="5376" width="9" style="88"/>
    <col min="5377" max="5377" width="14.85546875" style="88" customWidth="1"/>
    <col min="5378" max="5378" width="15.5703125" style="88" customWidth="1"/>
    <col min="5379" max="5379" width="20.140625" style="88" customWidth="1"/>
    <col min="5380" max="5380" width="27.5703125" style="88" customWidth="1"/>
    <col min="5381" max="5632" width="9" style="88"/>
    <col min="5633" max="5633" width="14.85546875" style="88" customWidth="1"/>
    <col min="5634" max="5634" width="15.5703125" style="88" customWidth="1"/>
    <col min="5635" max="5635" width="20.140625" style="88" customWidth="1"/>
    <col min="5636" max="5636" width="27.5703125" style="88" customWidth="1"/>
    <col min="5637" max="5888" width="9" style="88"/>
    <col min="5889" max="5889" width="14.85546875" style="88" customWidth="1"/>
    <col min="5890" max="5890" width="15.5703125" style="88" customWidth="1"/>
    <col min="5891" max="5891" width="20.140625" style="88" customWidth="1"/>
    <col min="5892" max="5892" width="27.5703125" style="88" customWidth="1"/>
    <col min="5893" max="6144" width="9" style="88"/>
    <col min="6145" max="6145" width="14.85546875" style="88" customWidth="1"/>
    <col min="6146" max="6146" width="15.5703125" style="88" customWidth="1"/>
    <col min="6147" max="6147" width="20.140625" style="88" customWidth="1"/>
    <col min="6148" max="6148" width="27.5703125" style="88" customWidth="1"/>
    <col min="6149" max="6400" width="9" style="88"/>
    <col min="6401" max="6401" width="14.85546875" style="88" customWidth="1"/>
    <col min="6402" max="6402" width="15.5703125" style="88" customWidth="1"/>
    <col min="6403" max="6403" width="20.140625" style="88" customWidth="1"/>
    <col min="6404" max="6404" width="27.5703125" style="88" customWidth="1"/>
    <col min="6405" max="6656" width="9" style="88"/>
    <col min="6657" max="6657" width="14.85546875" style="88" customWidth="1"/>
    <col min="6658" max="6658" width="15.5703125" style="88" customWidth="1"/>
    <col min="6659" max="6659" width="20.140625" style="88" customWidth="1"/>
    <col min="6660" max="6660" width="27.5703125" style="88" customWidth="1"/>
    <col min="6661" max="6912" width="9" style="88"/>
    <col min="6913" max="6913" width="14.85546875" style="88" customWidth="1"/>
    <col min="6914" max="6914" width="15.5703125" style="88" customWidth="1"/>
    <col min="6915" max="6915" width="20.140625" style="88" customWidth="1"/>
    <col min="6916" max="6916" width="27.5703125" style="88" customWidth="1"/>
    <col min="6917" max="7168" width="9" style="88"/>
    <col min="7169" max="7169" width="14.85546875" style="88" customWidth="1"/>
    <col min="7170" max="7170" width="15.5703125" style="88" customWidth="1"/>
    <col min="7171" max="7171" width="20.140625" style="88" customWidth="1"/>
    <col min="7172" max="7172" width="27.5703125" style="88" customWidth="1"/>
    <col min="7173" max="7424" width="9" style="88"/>
    <col min="7425" max="7425" width="14.85546875" style="88" customWidth="1"/>
    <col min="7426" max="7426" width="15.5703125" style="88" customWidth="1"/>
    <col min="7427" max="7427" width="20.140625" style="88" customWidth="1"/>
    <col min="7428" max="7428" width="27.5703125" style="88" customWidth="1"/>
    <col min="7429" max="7680" width="9" style="88"/>
    <col min="7681" max="7681" width="14.85546875" style="88" customWidth="1"/>
    <col min="7682" max="7682" width="15.5703125" style="88" customWidth="1"/>
    <col min="7683" max="7683" width="20.140625" style="88" customWidth="1"/>
    <col min="7684" max="7684" width="27.5703125" style="88" customWidth="1"/>
    <col min="7685" max="7936" width="9" style="88"/>
    <col min="7937" max="7937" width="14.85546875" style="88" customWidth="1"/>
    <col min="7938" max="7938" width="15.5703125" style="88" customWidth="1"/>
    <col min="7939" max="7939" width="20.140625" style="88" customWidth="1"/>
    <col min="7940" max="7940" width="27.5703125" style="88" customWidth="1"/>
    <col min="7941" max="8192" width="9" style="88"/>
    <col min="8193" max="8193" width="14.85546875" style="88" customWidth="1"/>
    <col min="8194" max="8194" width="15.5703125" style="88" customWidth="1"/>
    <col min="8195" max="8195" width="20.140625" style="88" customWidth="1"/>
    <col min="8196" max="8196" width="27.5703125" style="88" customWidth="1"/>
    <col min="8197" max="8448" width="9" style="88"/>
    <col min="8449" max="8449" width="14.85546875" style="88" customWidth="1"/>
    <col min="8450" max="8450" width="15.5703125" style="88" customWidth="1"/>
    <col min="8451" max="8451" width="20.140625" style="88" customWidth="1"/>
    <col min="8452" max="8452" width="27.5703125" style="88" customWidth="1"/>
    <col min="8453" max="8704" width="9" style="88"/>
    <col min="8705" max="8705" width="14.85546875" style="88" customWidth="1"/>
    <col min="8706" max="8706" width="15.5703125" style="88" customWidth="1"/>
    <col min="8707" max="8707" width="20.140625" style="88" customWidth="1"/>
    <col min="8708" max="8708" width="27.5703125" style="88" customWidth="1"/>
    <col min="8709" max="8960" width="9" style="88"/>
    <col min="8961" max="8961" width="14.85546875" style="88" customWidth="1"/>
    <col min="8962" max="8962" width="15.5703125" style="88" customWidth="1"/>
    <col min="8963" max="8963" width="20.140625" style="88" customWidth="1"/>
    <col min="8964" max="8964" width="27.5703125" style="88" customWidth="1"/>
    <col min="8965" max="9216" width="9" style="88"/>
    <col min="9217" max="9217" width="14.85546875" style="88" customWidth="1"/>
    <col min="9218" max="9218" width="15.5703125" style="88" customWidth="1"/>
    <col min="9219" max="9219" width="20.140625" style="88" customWidth="1"/>
    <col min="9220" max="9220" width="27.5703125" style="88" customWidth="1"/>
    <col min="9221" max="9472" width="9" style="88"/>
    <col min="9473" max="9473" width="14.85546875" style="88" customWidth="1"/>
    <col min="9474" max="9474" width="15.5703125" style="88" customWidth="1"/>
    <col min="9475" max="9475" width="20.140625" style="88" customWidth="1"/>
    <col min="9476" max="9476" width="27.5703125" style="88" customWidth="1"/>
    <col min="9477" max="9728" width="9" style="88"/>
    <col min="9729" max="9729" width="14.85546875" style="88" customWidth="1"/>
    <col min="9730" max="9730" width="15.5703125" style="88" customWidth="1"/>
    <col min="9731" max="9731" width="20.140625" style="88" customWidth="1"/>
    <col min="9732" max="9732" width="27.5703125" style="88" customWidth="1"/>
    <col min="9733" max="9984" width="9" style="88"/>
    <col min="9985" max="9985" width="14.85546875" style="88" customWidth="1"/>
    <col min="9986" max="9986" width="15.5703125" style="88" customWidth="1"/>
    <col min="9987" max="9987" width="20.140625" style="88" customWidth="1"/>
    <col min="9988" max="9988" width="27.5703125" style="88" customWidth="1"/>
    <col min="9989" max="10240" width="9" style="88"/>
    <col min="10241" max="10241" width="14.85546875" style="88" customWidth="1"/>
    <col min="10242" max="10242" width="15.5703125" style="88" customWidth="1"/>
    <col min="10243" max="10243" width="20.140625" style="88" customWidth="1"/>
    <col min="10244" max="10244" width="27.5703125" style="88" customWidth="1"/>
    <col min="10245" max="10496" width="9" style="88"/>
    <col min="10497" max="10497" width="14.85546875" style="88" customWidth="1"/>
    <col min="10498" max="10498" width="15.5703125" style="88" customWidth="1"/>
    <col min="10499" max="10499" width="20.140625" style="88" customWidth="1"/>
    <col min="10500" max="10500" width="27.5703125" style="88" customWidth="1"/>
    <col min="10501" max="10752" width="9" style="88"/>
    <col min="10753" max="10753" width="14.85546875" style="88" customWidth="1"/>
    <col min="10754" max="10754" width="15.5703125" style="88" customWidth="1"/>
    <col min="10755" max="10755" width="20.140625" style="88" customWidth="1"/>
    <col min="10756" max="10756" width="27.5703125" style="88" customWidth="1"/>
    <col min="10757" max="11008" width="9" style="88"/>
    <col min="11009" max="11009" width="14.85546875" style="88" customWidth="1"/>
    <col min="11010" max="11010" width="15.5703125" style="88" customWidth="1"/>
    <col min="11011" max="11011" width="20.140625" style="88" customWidth="1"/>
    <col min="11012" max="11012" width="27.5703125" style="88" customWidth="1"/>
    <col min="11013" max="11264" width="9" style="88"/>
    <col min="11265" max="11265" width="14.85546875" style="88" customWidth="1"/>
    <col min="11266" max="11266" width="15.5703125" style="88" customWidth="1"/>
    <col min="11267" max="11267" width="20.140625" style="88" customWidth="1"/>
    <col min="11268" max="11268" width="27.5703125" style="88" customWidth="1"/>
    <col min="11269" max="11520" width="9" style="88"/>
    <col min="11521" max="11521" width="14.85546875" style="88" customWidth="1"/>
    <col min="11522" max="11522" width="15.5703125" style="88" customWidth="1"/>
    <col min="11523" max="11523" width="20.140625" style="88" customWidth="1"/>
    <col min="11524" max="11524" width="27.5703125" style="88" customWidth="1"/>
    <col min="11525" max="11776" width="9" style="88"/>
    <col min="11777" max="11777" width="14.85546875" style="88" customWidth="1"/>
    <col min="11778" max="11778" width="15.5703125" style="88" customWidth="1"/>
    <col min="11779" max="11779" width="20.140625" style="88" customWidth="1"/>
    <col min="11780" max="11780" width="27.5703125" style="88" customWidth="1"/>
    <col min="11781" max="12032" width="9" style="88"/>
    <col min="12033" max="12033" width="14.85546875" style="88" customWidth="1"/>
    <col min="12034" max="12034" width="15.5703125" style="88" customWidth="1"/>
    <col min="12035" max="12035" width="20.140625" style="88" customWidth="1"/>
    <col min="12036" max="12036" width="27.5703125" style="88" customWidth="1"/>
    <col min="12037" max="12288" width="9" style="88"/>
    <col min="12289" max="12289" width="14.85546875" style="88" customWidth="1"/>
    <col min="12290" max="12290" width="15.5703125" style="88" customWidth="1"/>
    <col min="12291" max="12291" width="20.140625" style="88" customWidth="1"/>
    <col min="12292" max="12292" width="27.5703125" style="88" customWidth="1"/>
    <col min="12293" max="12544" width="9" style="88"/>
    <col min="12545" max="12545" width="14.85546875" style="88" customWidth="1"/>
    <col min="12546" max="12546" width="15.5703125" style="88" customWidth="1"/>
    <col min="12547" max="12547" width="20.140625" style="88" customWidth="1"/>
    <col min="12548" max="12548" width="27.5703125" style="88" customWidth="1"/>
    <col min="12549" max="12800" width="9" style="88"/>
    <col min="12801" max="12801" width="14.85546875" style="88" customWidth="1"/>
    <col min="12802" max="12802" width="15.5703125" style="88" customWidth="1"/>
    <col min="12803" max="12803" width="20.140625" style="88" customWidth="1"/>
    <col min="12804" max="12804" width="27.5703125" style="88" customWidth="1"/>
    <col min="12805" max="13056" width="9" style="88"/>
    <col min="13057" max="13057" width="14.85546875" style="88" customWidth="1"/>
    <col min="13058" max="13058" width="15.5703125" style="88" customWidth="1"/>
    <col min="13059" max="13059" width="20.140625" style="88" customWidth="1"/>
    <col min="13060" max="13060" width="27.5703125" style="88" customWidth="1"/>
    <col min="13061" max="13312" width="9" style="88"/>
    <col min="13313" max="13313" width="14.85546875" style="88" customWidth="1"/>
    <col min="13314" max="13314" width="15.5703125" style="88" customWidth="1"/>
    <col min="13315" max="13315" width="20.140625" style="88" customWidth="1"/>
    <col min="13316" max="13316" width="27.5703125" style="88" customWidth="1"/>
    <col min="13317" max="13568" width="9" style="88"/>
    <col min="13569" max="13569" width="14.85546875" style="88" customWidth="1"/>
    <col min="13570" max="13570" width="15.5703125" style="88" customWidth="1"/>
    <col min="13571" max="13571" width="20.140625" style="88" customWidth="1"/>
    <col min="13572" max="13572" width="27.5703125" style="88" customWidth="1"/>
    <col min="13573" max="13824" width="9" style="88"/>
    <col min="13825" max="13825" width="14.85546875" style="88" customWidth="1"/>
    <col min="13826" max="13826" width="15.5703125" style="88" customWidth="1"/>
    <col min="13827" max="13827" width="20.140625" style="88" customWidth="1"/>
    <col min="13828" max="13828" width="27.5703125" style="88" customWidth="1"/>
    <col min="13829" max="14080" width="9" style="88"/>
    <col min="14081" max="14081" width="14.85546875" style="88" customWidth="1"/>
    <col min="14082" max="14082" width="15.5703125" style="88" customWidth="1"/>
    <col min="14083" max="14083" width="20.140625" style="88" customWidth="1"/>
    <col min="14084" max="14084" width="27.5703125" style="88" customWidth="1"/>
    <col min="14085" max="14336" width="9" style="88"/>
    <col min="14337" max="14337" width="14.85546875" style="88" customWidth="1"/>
    <col min="14338" max="14338" width="15.5703125" style="88" customWidth="1"/>
    <col min="14339" max="14339" width="20.140625" style="88" customWidth="1"/>
    <col min="14340" max="14340" width="27.5703125" style="88" customWidth="1"/>
    <col min="14341" max="14592" width="9" style="88"/>
    <col min="14593" max="14593" width="14.85546875" style="88" customWidth="1"/>
    <col min="14594" max="14594" width="15.5703125" style="88" customWidth="1"/>
    <col min="14595" max="14595" width="20.140625" style="88" customWidth="1"/>
    <col min="14596" max="14596" width="27.5703125" style="88" customWidth="1"/>
    <col min="14597" max="14848" width="9" style="88"/>
    <col min="14849" max="14849" width="14.85546875" style="88" customWidth="1"/>
    <col min="14850" max="14850" width="15.5703125" style="88" customWidth="1"/>
    <col min="14851" max="14851" width="20.140625" style="88" customWidth="1"/>
    <col min="14852" max="14852" width="27.5703125" style="88" customWidth="1"/>
    <col min="14853" max="15104" width="9" style="88"/>
    <col min="15105" max="15105" width="14.85546875" style="88" customWidth="1"/>
    <col min="15106" max="15106" width="15.5703125" style="88" customWidth="1"/>
    <col min="15107" max="15107" width="20.140625" style="88" customWidth="1"/>
    <col min="15108" max="15108" width="27.5703125" style="88" customWidth="1"/>
    <col min="15109" max="15360" width="9" style="88"/>
    <col min="15361" max="15361" width="14.85546875" style="88" customWidth="1"/>
    <col min="15362" max="15362" width="15.5703125" style="88" customWidth="1"/>
    <col min="15363" max="15363" width="20.140625" style="88" customWidth="1"/>
    <col min="15364" max="15364" width="27.5703125" style="88" customWidth="1"/>
    <col min="15365" max="15616" width="9" style="88"/>
    <col min="15617" max="15617" width="14.85546875" style="88" customWidth="1"/>
    <col min="15618" max="15618" width="15.5703125" style="88" customWidth="1"/>
    <col min="15619" max="15619" width="20.140625" style="88" customWidth="1"/>
    <col min="15620" max="15620" width="27.5703125" style="88" customWidth="1"/>
    <col min="15621" max="15872" width="9" style="88"/>
    <col min="15873" max="15873" width="14.85546875" style="88" customWidth="1"/>
    <col min="15874" max="15874" width="15.5703125" style="88" customWidth="1"/>
    <col min="15875" max="15875" width="20.140625" style="88" customWidth="1"/>
    <col min="15876" max="15876" width="27.5703125" style="88" customWidth="1"/>
    <col min="15877" max="16128" width="9" style="88"/>
    <col min="16129" max="16129" width="14.85546875" style="88" customWidth="1"/>
    <col min="16130" max="16130" width="15.5703125" style="88" customWidth="1"/>
    <col min="16131" max="16131" width="20.140625" style="88" customWidth="1"/>
    <col min="16132" max="16132" width="27.5703125" style="88" customWidth="1"/>
    <col min="16133" max="16384" width="9" style="88"/>
  </cols>
  <sheetData>
    <row r="1" spans="1:7">
      <c r="B1" s="89">
        <f>+'SMCP CALCULATOR'!L30</f>
        <v>0</v>
      </c>
      <c r="C1" s="90" t="str">
        <f>TEXT(B1,"000000000")</f>
        <v>000000000</v>
      </c>
      <c r="E1" s="88">
        <v>0</v>
      </c>
      <c r="F1" s="88" t="s">
        <v>101</v>
      </c>
      <c r="G1" s="88" t="s">
        <v>102</v>
      </c>
    </row>
    <row r="2" spans="1:7">
      <c r="E2" s="88">
        <v>1</v>
      </c>
      <c r="F2" s="88" t="s">
        <v>103</v>
      </c>
      <c r="G2" s="88" t="s">
        <v>104</v>
      </c>
    </row>
    <row r="3" spans="1:7">
      <c r="A3" s="88" t="s">
        <v>105</v>
      </c>
      <c r="B3" s="88" t="str">
        <f>RIGHT($C$1,2)</f>
        <v>00</v>
      </c>
      <c r="C3" s="88" t="str">
        <f>IF(VALUE(B3)&gt;0,VLOOKUP(VALUE(B3),$E$1:$F$100,2,FALSE()),"")</f>
        <v/>
      </c>
      <c r="E3" s="88">
        <v>2</v>
      </c>
      <c r="F3" s="88" t="s">
        <v>106</v>
      </c>
      <c r="G3" s="88" t="s">
        <v>107</v>
      </c>
    </row>
    <row r="4" spans="1:7">
      <c r="A4" s="88" t="s">
        <v>102</v>
      </c>
      <c r="B4" s="88" t="str">
        <f>MID($C$1,LEN($C$1)-2,1)</f>
        <v>0</v>
      </c>
      <c r="C4" s="88" t="str">
        <f>CONCATENATE(VLOOKUP(VALUE(B4),$E$1:$F$100,2,FALSE())," ",IF(VALUE(B4)&gt;0,A4,""))</f>
        <v xml:space="preserve">  </v>
      </c>
      <c r="E4" s="88">
        <v>3</v>
      </c>
      <c r="F4" s="88" t="s">
        <v>108</v>
      </c>
      <c r="G4" s="88" t="s">
        <v>109</v>
      </c>
    </row>
    <row r="5" spans="1:7">
      <c r="A5" s="88" t="s">
        <v>104</v>
      </c>
      <c r="B5" s="88" t="str">
        <f>MID($C$1,LEN($C$1)-4,2)</f>
        <v>00</v>
      </c>
      <c r="C5" s="88" t="str">
        <f>CONCATENATE(VLOOKUP(VALUE(B5),$E$1:$F$100,2,FALSE())," ",IF(VALUE(B5)&gt;0,A5,""))</f>
        <v xml:space="preserve">  </v>
      </c>
      <c r="E5" s="88">
        <v>4</v>
      </c>
      <c r="F5" s="88" t="s">
        <v>110</v>
      </c>
    </row>
    <row r="6" spans="1:7">
      <c r="A6" s="88" t="s">
        <v>107</v>
      </c>
      <c r="B6" s="88" t="str">
        <f>MID($C$1,LEN($C$1)-6,2)</f>
        <v>00</v>
      </c>
      <c r="C6" s="88" t="str">
        <f>CONCATENATE(VLOOKUP(VALUE(B6),$E$1:$F$100,2,FALSE())," ",IF(VALUE(B6)&gt;0,A6,""))</f>
        <v xml:space="preserve">  </v>
      </c>
      <c r="E6" s="88">
        <v>5</v>
      </c>
      <c r="F6" s="88" t="s">
        <v>111</v>
      </c>
    </row>
    <row r="7" spans="1:7">
      <c r="A7" s="88" t="s">
        <v>109</v>
      </c>
      <c r="B7" s="88" t="str">
        <f>MID($C$1,LEN($C$1)-8,2)</f>
        <v>00</v>
      </c>
      <c r="C7" s="88" t="str">
        <f>CONCATENATE(VLOOKUP(VALUE(B7),$E$1:$F$100,2,FALSE())," ",IF(VALUE(B7)&gt;0,A7,""))</f>
        <v xml:space="preserve">  </v>
      </c>
      <c r="E7" s="88">
        <v>6</v>
      </c>
      <c r="F7" s="88" t="s">
        <v>112</v>
      </c>
    </row>
    <row r="8" spans="1:7">
      <c r="E8" s="88">
        <v>7</v>
      </c>
      <c r="F8" s="88" t="s">
        <v>113</v>
      </c>
    </row>
    <row r="9" spans="1:7">
      <c r="C9" s="90"/>
      <c r="E9" s="88">
        <v>8</v>
      </c>
      <c r="F9" s="88" t="s">
        <v>114</v>
      </c>
    </row>
    <row r="10" spans="1:7">
      <c r="E10" s="88">
        <v>9</v>
      </c>
      <c r="F10" s="88" t="s">
        <v>115</v>
      </c>
    </row>
    <row r="11" spans="1:7">
      <c r="E11" s="88">
        <v>10</v>
      </c>
      <c r="F11" s="88" t="s">
        <v>116</v>
      </c>
    </row>
    <row r="12" spans="1:7">
      <c r="E12" s="88">
        <v>11</v>
      </c>
      <c r="F12" s="88" t="s">
        <v>117</v>
      </c>
    </row>
    <row r="13" spans="1:7">
      <c r="E13" s="88">
        <v>12</v>
      </c>
      <c r="F13" s="88" t="s">
        <v>118</v>
      </c>
    </row>
    <row r="14" spans="1:7">
      <c r="E14" s="88">
        <v>13</v>
      </c>
      <c r="F14" s="88" t="s">
        <v>119</v>
      </c>
    </row>
    <row r="15" spans="1:7">
      <c r="A15" s="90" t="str">
        <f>TRIM(CONCATENATE(C7," ",C6," ",C5," ",C4," ",C3," Only"))</f>
        <v>Only</v>
      </c>
      <c r="E15" s="88">
        <v>14</v>
      </c>
      <c r="F15" s="88" t="s">
        <v>120</v>
      </c>
    </row>
    <row r="16" spans="1:7">
      <c r="E16" s="88">
        <v>15</v>
      </c>
      <c r="F16" s="88" t="s">
        <v>121</v>
      </c>
    </row>
    <row r="17" spans="1:6" ht="14.25">
      <c r="A17" s="91" t="e">
        <f>FIND(" ",A15,50)</f>
        <v>#VALUE!</v>
      </c>
      <c r="B17" s="88">
        <f>IF(ISERR(A17),LEN(A15),A17)</f>
        <v>4</v>
      </c>
      <c r="C17" s="88">
        <f>IF(B17&gt;50,B17,LEN(A15))</f>
        <v>4</v>
      </c>
      <c r="E17" s="88">
        <v>16</v>
      </c>
      <c r="F17" s="88" t="s">
        <v>122</v>
      </c>
    </row>
    <row r="18" spans="1:6">
      <c r="E18" s="88">
        <v>17</v>
      </c>
      <c r="F18" s="88" t="s">
        <v>123</v>
      </c>
    </row>
    <row r="19" spans="1:6">
      <c r="A19" s="88" t="str">
        <f>LEFT(A15,C17)</f>
        <v>Only</v>
      </c>
      <c r="E19" s="88">
        <v>18</v>
      </c>
      <c r="F19" s="88" t="s">
        <v>124</v>
      </c>
    </row>
    <row r="20" spans="1:6">
      <c r="A20" s="88" t="str">
        <f>TRIM(MID(A15,C17+1,LEN(A15)))</f>
        <v/>
      </c>
      <c r="E20" s="88">
        <v>19</v>
      </c>
      <c r="F20" s="88" t="s">
        <v>125</v>
      </c>
    </row>
    <row r="21" spans="1:6">
      <c r="E21" s="88">
        <v>20</v>
      </c>
      <c r="F21" s="88" t="s">
        <v>126</v>
      </c>
    </row>
    <row r="22" spans="1:6">
      <c r="E22" s="88">
        <v>21</v>
      </c>
      <c r="F22" s="88" t="s">
        <v>127</v>
      </c>
    </row>
    <row r="23" spans="1:6">
      <c r="E23" s="88">
        <v>22</v>
      </c>
      <c r="F23" s="88" t="s">
        <v>128</v>
      </c>
    </row>
    <row r="24" spans="1:6">
      <c r="E24" s="88">
        <v>23</v>
      </c>
      <c r="F24" s="88" t="s">
        <v>129</v>
      </c>
    </row>
    <row r="25" spans="1:6">
      <c r="E25" s="88">
        <v>24</v>
      </c>
      <c r="F25" s="88" t="s">
        <v>130</v>
      </c>
    </row>
    <row r="26" spans="1:6">
      <c r="E26" s="88">
        <v>25</v>
      </c>
      <c r="F26" s="88" t="s">
        <v>131</v>
      </c>
    </row>
    <row r="27" spans="1:6">
      <c r="E27" s="88">
        <v>26</v>
      </c>
      <c r="F27" s="88" t="s">
        <v>132</v>
      </c>
    </row>
    <row r="28" spans="1:6">
      <c r="E28" s="88">
        <v>27</v>
      </c>
      <c r="F28" s="88" t="s">
        <v>133</v>
      </c>
    </row>
    <row r="29" spans="1:6">
      <c r="E29" s="88">
        <v>28</v>
      </c>
      <c r="F29" s="88" t="s">
        <v>134</v>
      </c>
    </row>
    <row r="30" spans="1:6">
      <c r="E30" s="88">
        <v>29</v>
      </c>
      <c r="F30" s="88" t="s">
        <v>135</v>
      </c>
    </row>
    <row r="31" spans="1:6">
      <c r="E31" s="88">
        <v>30</v>
      </c>
      <c r="F31" s="88" t="s">
        <v>136</v>
      </c>
    </row>
    <row r="32" spans="1:6">
      <c r="E32" s="88">
        <v>31</v>
      </c>
      <c r="F32" s="88" t="s">
        <v>137</v>
      </c>
    </row>
    <row r="33" spans="5:6">
      <c r="E33" s="88">
        <v>32</v>
      </c>
      <c r="F33" s="88" t="s">
        <v>138</v>
      </c>
    </row>
    <row r="34" spans="5:6">
      <c r="E34" s="88">
        <v>33</v>
      </c>
      <c r="F34" s="88" t="s">
        <v>139</v>
      </c>
    </row>
    <row r="35" spans="5:6">
      <c r="E35" s="88">
        <v>34</v>
      </c>
      <c r="F35" s="88" t="s">
        <v>140</v>
      </c>
    </row>
    <row r="36" spans="5:6">
      <c r="E36" s="88">
        <v>35</v>
      </c>
      <c r="F36" s="88" t="s">
        <v>141</v>
      </c>
    </row>
    <row r="37" spans="5:6">
      <c r="E37" s="88">
        <v>36</v>
      </c>
      <c r="F37" s="88" t="s">
        <v>142</v>
      </c>
    </row>
    <row r="38" spans="5:6">
      <c r="E38" s="88">
        <v>37</v>
      </c>
      <c r="F38" s="88" t="s">
        <v>143</v>
      </c>
    </row>
    <row r="39" spans="5:6">
      <c r="E39" s="88">
        <v>38</v>
      </c>
      <c r="F39" s="88" t="s">
        <v>144</v>
      </c>
    </row>
    <row r="40" spans="5:6">
      <c r="E40" s="88">
        <v>39</v>
      </c>
      <c r="F40" s="88" t="s">
        <v>145</v>
      </c>
    </row>
    <row r="41" spans="5:6">
      <c r="E41" s="88">
        <v>40</v>
      </c>
      <c r="F41" s="88" t="s">
        <v>146</v>
      </c>
    </row>
    <row r="42" spans="5:6">
      <c r="E42" s="88">
        <v>41</v>
      </c>
      <c r="F42" s="88" t="s">
        <v>147</v>
      </c>
    </row>
    <row r="43" spans="5:6">
      <c r="E43" s="88">
        <v>42</v>
      </c>
      <c r="F43" s="88" t="s">
        <v>148</v>
      </c>
    </row>
    <row r="44" spans="5:6">
      <c r="E44" s="88">
        <v>43</v>
      </c>
      <c r="F44" s="88" t="s">
        <v>149</v>
      </c>
    </row>
    <row r="45" spans="5:6">
      <c r="E45" s="88">
        <v>44</v>
      </c>
      <c r="F45" s="88" t="s">
        <v>150</v>
      </c>
    </row>
    <row r="46" spans="5:6">
      <c r="E46" s="88">
        <v>45</v>
      </c>
      <c r="F46" s="88" t="s">
        <v>151</v>
      </c>
    </row>
    <row r="47" spans="5:6">
      <c r="E47" s="88">
        <v>46</v>
      </c>
      <c r="F47" s="88" t="s">
        <v>152</v>
      </c>
    </row>
    <row r="48" spans="5:6">
      <c r="E48" s="88">
        <v>47</v>
      </c>
      <c r="F48" s="88" t="s">
        <v>153</v>
      </c>
    </row>
    <row r="49" spans="5:6">
      <c r="E49" s="88">
        <v>48</v>
      </c>
      <c r="F49" s="88" t="s">
        <v>154</v>
      </c>
    </row>
    <row r="50" spans="5:6">
      <c r="E50" s="88">
        <v>49</v>
      </c>
      <c r="F50" s="88" t="s">
        <v>155</v>
      </c>
    </row>
    <row r="51" spans="5:6">
      <c r="E51" s="88">
        <v>50</v>
      </c>
      <c r="F51" s="88" t="s">
        <v>156</v>
      </c>
    </row>
    <row r="52" spans="5:6">
      <c r="E52" s="88">
        <v>51</v>
      </c>
      <c r="F52" s="88" t="s">
        <v>157</v>
      </c>
    </row>
    <row r="53" spans="5:6">
      <c r="E53" s="88">
        <v>52</v>
      </c>
      <c r="F53" s="88" t="s">
        <v>158</v>
      </c>
    </row>
    <row r="54" spans="5:6">
      <c r="E54" s="88">
        <v>53</v>
      </c>
      <c r="F54" s="88" t="s">
        <v>159</v>
      </c>
    </row>
    <row r="55" spans="5:6">
      <c r="E55" s="88">
        <v>54</v>
      </c>
      <c r="F55" s="88" t="s">
        <v>160</v>
      </c>
    </row>
    <row r="56" spans="5:6">
      <c r="E56" s="88">
        <v>55</v>
      </c>
      <c r="F56" s="88" t="s">
        <v>161</v>
      </c>
    </row>
    <row r="57" spans="5:6">
      <c r="E57" s="88">
        <v>56</v>
      </c>
      <c r="F57" s="88" t="s">
        <v>162</v>
      </c>
    </row>
    <row r="58" spans="5:6">
      <c r="E58" s="88">
        <v>57</v>
      </c>
      <c r="F58" s="88" t="s">
        <v>163</v>
      </c>
    </row>
    <row r="59" spans="5:6">
      <c r="E59" s="88">
        <v>58</v>
      </c>
      <c r="F59" s="88" t="s">
        <v>164</v>
      </c>
    </row>
    <row r="60" spans="5:6">
      <c r="E60" s="88">
        <v>59</v>
      </c>
      <c r="F60" s="88" t="s">
        <v>165</v>
      </c>
    </row>
    <row r="61" spans="5:6">
      <c r="E61" s="88">
        <v>60</v>
      </c>
      <c r="F61" s="88" t="s">
        <v>166</v>
      </c>
    </row>
    <row r="62" spans="5:6">
      <c r="E62" s="88">
        <v>61</v>
      </c>
      <c r="F62" s="88" t="s">
        <v>167</v>
      </c>
    </row>
    <row r="63" spans="5:6">
      <c r="E63" s="88">
        <v>62</v>
      </c>
      <c r="F63" s="88" t="s">
        <v>168</v>
      </c>
    </row>
    <row r="64" spans="5:6">
      <c r="E64" s="88">
        <v>63</v>
      </c>
      <c r="F64" s="88" t="s">
        <v>169</v>
      </c>
    </row>
    <row r="65" spans="5:6">
      <c r="E65" s="88">
        <v>64</v>
      </c>
      <c r="F65" s="88" t="s">
        <v>170</v>
      </c>
    </row>
    <row r="66" spans="5:6">
      <c r="E66" s="88">
        <v>65</v>
      </c>
      <c r="F66" s="88" t="s">
        <v>171</v>
      </c>
    </row>
    <row r="67" spans="5:6">
      <c r="E67" s="88">
        <v>66</v>
      </c>
      <c r="F67" s="88" t="s">
        <v>172</v>
      </c>
    </row>
    <row r="68" spans="5:6">
      <c r="E68" s="88">
        <v>67</v>
      </c>
      <c r="F68" s="88" t="s">
        <v>173</v>
      </c>
    </row>
    <row r="69" spans="5:6">
      <c r="E69" s="88">
        <v>68</v>
      </c>
      <c r="F69" s="88" t="s">
        <v>174</v>
      </c>
    </row>
    <row r="70" spans="5:6">
      <c r="E70" s="88">
        <v>69</v>
      </c>
      <c r="F70" s="88" t="s">
        <v>175</v>
      </c>
    </row>
    <row r="71" spans="5:6">
      <c r="E71" s="88">
        <v>70</v>
      </c>
      <c r="F71" s="88" t="s">
        <v>176</v>
      </c>
    </row>
    <row r="72" spans="5:6">
      <c r="E72" s="88">
        <v>71</v>
      </c>
      <c r="F72" s="88" t="s">
        <v>177</v>
      </c>
    </row>
    <row r="73" spans="5:6">
      <c r="E73" s="88">
        <v>72</v>
      </c>
      <c r="F73" s="88" t="s">
        <v>178</v>
      </c>
    </row>
    <row r="74" spans="5:6">
      <c r="E74" s="88">
        <v>73</v>
      </c>
      <c r="F74" s="88" t="s">
        <v>179</v>
      </c>
    </row>
    <row r="75" spans="5:6">
      <c r="E75" s="88">
        <v>74</v>
      </c>
      <c r="F75" s="88" t="s">
        <v>180</v>
      </c>
    </row>
    <row r="76" spans="5:6">
      <c r="E76" s="88">
        <v>75</v>
      </c>
      <c r="F76" s="88" t="s">
        <v>181</v>
      </c>
    </row>
    <row r="77" spans="5:6">
      <c r="E77" s="88">
        <v>76</v>
      </c>
      <c r="F77" s="88" t="s">
        <v>182</v>
      </c>
    </row>
    <row r="78" spans="5:6">
      <c r="E78" s="88">
        <v>77</v>
      </c>
      <c r="F78" s="88" t="s">
        <v>183</v>
      </c>
    </row>
    <row r="79" spans="5:6">
      <c r="E79" s="88">
        <v>78</v>
      </c>
      <c r="F79" s="88" t="s">
        <v>184</v>
      </c>
    </row>
    <row r="80" spans="5:6">
      <c r="E80" s="88">
        <v>79</v>
      </c>
      <c r="F80" s="88" t="s">
        <v>185</v>
      </c>
    </row>
    <row r="81" spans="5:6">
      <c r="E81" s="88">
        <v>80</v>
      </c>
      <c r="F81" s="88" t="s">
        <v>186</v>
      </c>
    </row>
    <row r="82" spans="5:6">
      <c r="E82" s="88">
        <v>81</v>
      </c>
      <c r="F82" s="88" t="s">
        <v>187</v>
      </c>
    </row>
    <row r="83" spans="5:6">
      <c r="E83" s="88">
        <v>82</v>
      </c>
      <c r="F83" s="88" t="s">
        <v>188</v>
      </c>
    </row>
    <row r="84" spans="5:6">
      <c r="E84" s="88">
        <v>83</v>
      </c>
      <c r="F84" s="88" t="s">
        <v>189</v>
      </c>
    </row>
    <row r="85" spans="5:6">
      <c r="E85" s="88">
        <v>84</v>
      </c>
      <c r="F85" s="88" t="s">
        <v>190</v>
      </c>
    </row>
    <row r="86" spans="5:6">
      <c r="E86" s="88">
        <v>85</v>
      </c>
      <c r="F86" s="88" t="s">
        <v>191</v>
      </c>
    </row>
    <row r="87" spans="5:6">
      <c r="E87" s="88">
        <v>86</v>
      </c>
      <c r="F87" s="88" t="s">
        <v>192</v>
      </c>
    </row>
    <row r="88" spans="5:6">
      <c r="E88" s="88">
        <v>87</v>
      </c>
      <c r="F88" s="88" t="s">
        <v>193</v>
      </c>
    </row>
    <row r="89" spans="5:6">
      <c r="E89" s="88">
        <v>88</v>
      </c>
      <c r="F89" s="88" t="s">
        <v>194</v>
      </c>
    </row>
    <row r="90" spans="5:6">
      <c r="E90" s="88">
        <v>89</v>
      </c>
      <c r="F90" s="88" t="s">
        <v>195</v>
      </c>
    </row>
    <row r="91" spans="5:6">
      <c r="E91" s="88">
        <v>90</v>
      </c>
      <c r="F91" s="88" t="s">
        <v>196</v>
      </c>
    </row>
    <row r="92" spans="5:6">
      <c r="E92" s="88">
        <v>91</v>
      </c>
      <c r="F92" s="88" t="s">
        <v>197</v>
      </c>
    </row>
    <row r="93" spans="5:6">
      <c r="E93" s="88">
        <v>92</v>
      </c>
      <c r="F93" s="88" t="s">
        <v>198</v>
      </c>
    </row>
    <row r="94" spans="5:6">
      <c r="E94" s="88">
        <v>93</v>
      </c>
      <c r="F94" s="88" t="s">
        <v>199</v>
      </c>
    </row>
    <row r="95" spans="5:6">
      <c r="E95" s="88">
        <v>94</v>
      </c>
      <c r="F95" s="88" t="s">
        <v>200</v>
      </c>
    </row>
    <row r="96" spans="5:6">
      <c r="E96" s="88">
        <v>95</v>
      </c>
      <c r="F96" s="88" t="s">
        <v>201</v>
      </c>
    </row>
    <row r="97" spans="5:6">
      <c r="E97" s="88">
        <v>96</v>
      </c>
      <c r="F97" s="88" t="s">
        <v>202</v>
      </c>
    </row>
    <row r="98" spans="5:6">
      <c r="E98" s="88">
        <v>97</v>
      </c>
      <c r="F98" s="88" t="s">
        <v>203</v>
      </c>
    </row>
    <row r="99" spans="5:6">
      <c r="E99" s="88">
        <v>98</v>
      </c>
      <c r="F99" s="88" t="s">
        <v>204</v>
      </c>
    </row>
    <row r="100" spans="5:6">
      <c r="E100" s="88">
        <v>99</v>
      </c>
      <c r="F100" s="88" t="s">
        <v>205</v>
      </c>
    </row>
  </sheetData>
  <sheetProtection password="C67B" sheet="1" objects="1" scenarios="1"/>
  <pageMargins left="0.78749999999999998" right="0.78749999999999998" top="0.78749999999999998" bottom="0.78749999999999998" header="0.5" footer="0.5"/>
  <pageSetup paperSize="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SMCP CALCULATOR</vt:lpstr>
      <vt:lpstr>PREMIUM CHART</vt:lpstr>
      <vt:lpstr>Sheet3</vt:lpstr>
      <vt:lpstr>Premium-Chart</vt:lpstr>
      <vt:lpstr>Num_To_Text</vt:lpstr>
      <vt:lpstr>Elegible</vt:lpstr>
      <vt:lpstr>Opt</vt:lpstr>
      <vt:lpstr>'SMCP CALCULATOR'!Print_Area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17966</dc:creator>
  <cp:lastModifiedBy>35647</cp:lastModifiedBy>
  <cp:lastPrinted>2019-03-11T09:16:14Z</cp:lastPrinted>
  <dcterms:created xsi:type="dcterms:W3CDTF">2018-03-09T11:24:38Z</dcterms:created>
  <dcterms:modified xsi:type="dcterms:W3CDTF">2020-03-19T09:54:55Z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