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(1) Pension" sheetId="8" r:id="rId1"/>
    <sheet name="(2) Family Pension" sheetId="7" r:id="rId2"/>
    <sheet name="(3) DR &amp; Total Pension" sheetId="2" r:id="rId3"/>
    <sheet name="(4) TDS" sheetId="6" r:id="rId4"/>
  </sheets>
  <definedNames>
    <definedName name="_aaa31">#REF!</definedName>
    <definedName name="_aaa32">#REF!</definedName>
    <definedName name="_aaa33">#REF!</definedName>
    <definedName name="_aaa34">#REF!</definedName>
    <definedName name="_aaa35">#REF!</definedName>
    <definedName name="_aaa36">#REF!</definedName>
    <definedName name="_aaa37">#REF!</definedName>
    <definedName name="_aaa39">#REF!</definedName>
    <definedName name="_aaa40">#REF!</definedName>
    <definedName name="_aaa41">#REF!</definedName>
    <definedName name="_aaa42">#REF!</definedName>
    <definedName name="_aaa43">#REF!</definedName>
    <definedName name="_aaa44">#REF!</definedName>
    <definedName name="_aaa45">#REF!</definedName>
    <definedName name="_aaa46">#REF!</definedName>
    <definedName name="_aaa47">#REF!</definedName>
    <definedName name="_aaa48">#REF!</definedName>
    <definedName name="_aaa49">#REF!</definedName>
    <definedName name="_aaa50">#REF!</definedName>
    <definedName name="_aaa51">#REF!</definedName>
    <definedName name="_aaa52">#REF!</definedName>
    <definedName name="_aaa53">#REF!</definedName>
    <definedName name="_aaa54">#REF!</definedName>
    <definedName name="_aaa55">#REF!</definedName>
    <definedName name="_aaa56">#REF!</definedName>
    <definedName name="_aaa57">#REF!</definedName>
    <definedName name="_aaa58">#REF!</definedName>
    <definedName name="_aaa59">#REF!</definedName>
    <definedName name="_aaa60">#REF!</definedName>
    <definedName name="_aaa61">#REF!</definedName>
    <definedName name="_aaa62">#REF!</definedName>
    <definedName name="_aaa63">#REF!</definedName>
    <definedName name="_aaa64">#REF!</definedName>
    <definedName name="_aaa65">#REF!</definedName>
    <definedName name="_aaa66">#REF!</definedName>
    <definedName name="_aaa67">#REF!</definedName>
    <definedName name="_aaa68">#REF!</definedName>
    <definedName name="_aaa69">#REF!</definedName>
    <definedName name="_aaa70">#REF!</definedName>
    <definedName name="_aaa71">#REF!</definedName>
    <definedName name="_aaa72">#REF!</definedName>
    <definedName name="_bbb31">#REF!</definedName>
    <definedName name="_bbb32">#REF!</definedName>
    <definedName name="_bbb33">#REF!</definedName>
    <definedName name="_bbb34">#REF!</definedName>
    <definedName name="_bbb35">#REF!</definedName>
    <definedName name="_bbb36">#REF!</definedName>
    <definedName name="_bbb37">#REF!</definedName>
    <definedName name="_bbb39">#REF!</definedName>
    <definedName name="_bbb40">#REF!</definedName>
    <definedName name="_bbb41">#REF!</definedName>
    <definedName name="_bbb42">#REF!</definedName>
    <definedName name="_bbb44">#REF!</definedName>
    <definedName name="_bbb45">#REF!</definedName>
    <definedName name="_bbb46">#REF!</definedName>
    <definedName name="_bbb47">#REF!</definedName>
    <definedName name="_bbb48">#REF!</definedName>
    <definedName name="_bbb49">#REF!</definedName>
    <definedName name="_bbb50">#REF!</definedName>
    <definedName name="_bbb51">#REF!</definedName>
    <definedName name="_bbb52">#REF!</definedName>
    <definedName name="_bbb53">#REF!</definedName>
    <definedName name="_bbb54">#REF!</definedName>
    <definedName name="_bbb55">#REF!</definedName>
    <definedName name="_bbb56">#REF!</definedName>
    <definedName name="_bbb57">#REF!</definedName>
    <definedName name="_bbb58">#REF!</definedName>
    <definedName name="_bbb59">#REF!</definedName>
    <definedName name="_bbb60">#REF!</definedName>
    <definedName name="_bbb61">#REF!</definedName>
    <definedName name="_bbb62">#REF!</definedName>
    <definedName name="_bbb63">#REF!</definedName>
    <definedName name="_bbb64">#REF!</definedName>
    <definedName name="_bbb65">#REF!</definedName>
    <definedName name="_bbb66">#REF!</definedName>
    <definedName name="_bbb67">#REF!</definedName>
    <definedName name="_bbb68">#REF!</definedName>
    <definedName name="_bbb69">#REF!</definedName>
    <definedName name="_bbb70">#REF!</definedName>
    <definedName name="_bbb71">#REF!</definedName>
    <definedName name="_bbb72">#REF!</definedName>
    <definedName name="aaaaa31">#REF!</definedName>
    <definedName name="aaaaa32">#REF!</definedName>
    <definedName name="aaaaa33">#REF!</definedName>
    <definedName name="aaaaa34">#REF!</definedName>
    <definedName name="aaaaa35">#REF!</definedName>
    <definedName name="aaaaa36">#REF!</definedName>
    <definedName name="aaaaa37">#REF!</definedName>
    <definedName name="aaaaa39">#REF!</definedName>
    <definedName name="aaaaa40">#REF!</definedName>
    <definedName name="aaaaa41">#REF!</definedName>
    <definedName name="aaaaa42">#REF!</definedName>
    <definedName name="aaaaa43">#REF!</definedName>
    <definedName name="aaaaa44">#REF!</definedName>
    <definedName name="aaaaa45">#REF!</definedName>
    <definedName name="aaaaa46">#REF!</definedName>
    <definedName name="aaaaa47">#REF!</definedName>
    <definedName name="aaaaa48">#REF!</definedName>
    <definedName name="aaaaa49">#REF!</definedName>
    <definedName name="aaaaa50">#REF!</definedName>
    <definedName name="aaaaa51">#REF!</definedName>
    <definedName name="aaaaa52">#REF!</definedName>
    <definedName name="aaaaa53">#REF!</definedName>
    <definedName name="aaaaa54">#REF!</definedName>
    <definedName name="aaaaa55">#REF!</definedName>
    <definedName name="aaaaa56">#REF!</definedName>
    <definedName name="aaaaa57">#REF!</definedName>
    <definedName name="aaaaa58">#REF!</definedName>
    <definedName name="aaaaa59">#REF!</definedName>
    <definedName name="aaaaa60">#REF!</definedName>
    <definedName name="aaaaa61">#REF!</definedName>
    <definedName name="aaaaa62">#REF!</definedName>
    <definedName name="aaaaa63">#REF!</definedName>
    <definedName name="aaaaa64">#REF!</definedName>
    <definedName name="aaaaa65">#REF!</definedName>
    <definedName name="aaaaa66">#REF!</definedName>
    <definedName name="aaaaa67">#REF!</definedName>
    <definedName name="aaaaa68">#REF!</definedName>
    <definedName name="aaaaa69">#REF!</definedName>
    <definedName name="aaaaa70">#REF!</definedName>
    <definedName name="aaaaa71">#REF!</definedName>
    <definedName name="aaaaa72">#REF!</definedName>
    <definedName name="bbbbb31">#REF!</definedName>
    <definedName name="bbbbb32">#REF!</definedName>
    <definedName name="bbbbb33">#REF!</definedName>
    <definedName name="bbbbb34">#REF!</definedName>
    <definedName name="bbbbb35">#REF!</definedName>
    <definedName name="bbbbb36">#REF!</definedName>
    <definedName name="bbbbb37">#REF!</definedName>
    <definedName name="bbbbb39">#REF!</definedName>
    <definedName name="bbbbb40">#REF!</definedName>
    <definedName name="bbbbb41">#REF!</definedName>
    <definedName name="bbbbb42">#REF!</definedName>
    <definedName name="bbbbb43">#REF!</definedName>
    <definedName name="bbbbb44">#REF!</definedName>
    <definedName name="bbbbb45">#REF!</definedName>
    <definedName name="bbbbb47">#REF!</definedName>
    <definedName name="bbbbb48">#REF!</definedName>
    <definedName name="bbbbb49">#REF!</definedName>
    <definedName name="bbbbb50">#REF!</definedName>
    <definedName name="bbbbb51">#REF!</definedName>
    <definedName name="bbbbb52">#REF!</definedName>
    <definedName name="bbbbb53">#REF!</definedName>
    <definedName name="bbbbb54">#REF!</definedName>
    <definedName name="bbbbb55">#REF!</definedName>
    <definedName name="bbbbb56">#REF!</definedName>
    <definedName name="bbbbb57">#REF!</definedName>
    <definedName name="bbbbb58">#REF!</definedName>
    <definedName name="bbbbb59">#REF!</definedName>
    <definedName name="bbbbb60">#REF!</definedName>
    <definedName name="bbbbb61">#REF!</definedName>
    <definedName name="bbbbb62">#REF!</definedName>
    <definedName name="bbbbb63">#REF!</definedName>
    <definedName name="bbbbb64">#REF!</definedName>
    <definedName name="bbbbb65">#REF!</definedName>
    <definedName name="bbbbb66">#REF!</definedName>
    <definedName name="bbbbb67">#REF!</definedName>
    <definedName name="bbbbb68">#REF!</definedName>
    <definedName name="bbbbb69">#REF!</definedName>
    <definedName name="bbbbb70">#REF!</definedName>
    <definedName name="bbbbb71">#REF!</definedName>
    <definedName name="bbbbb72">#REF!</definedName>
    <definedName name="bbbbbbbbbbbb44444444444444444444">#REF!</definedName>
    <definedName name="_xlnm.Print_Area" localSheetId="2">'(3) DR &amp; Total Pension'!$B$60:$T$66</definedName>
    <definedName name="_xlnm.Print_Area" localSheetId="3">'(4) TDS'!$A$3:$K$17</definedName>
    <definedName name="_xlnm.Print_Titles" localSheetId="2">'(3) DR &amp; Total Pension'!$10:$10</definedName>
  </definedNames>
  <calcPr calcId="144525"/>
</workbook>
</file>

<file path=xl/calcChain.xml><?xml version="1.0" encoding="utf-8"?>
<calcChain xmlns="http://schemas.openxmlformats.org/spreadsheetml/2006/main">
  <c r="A1" i="6" l="1"/>
  <c r="F40" i="6"/>
  <c r="A9" i="2" l="1"/>
  <c r="A8" i="2"/>
  <c r="A7" i="2"/>
  <c r="A6" i="2"/>
  <c r="A3" i="2" l="1"/>
  <c r="D11" i="7"/>
  <c r="D9" i="7"/>
  <c r="D7" i="7"/>
  <c r="I13" i="7" s="1"/>
  <c r="I52" i="7"/>
  <c r="H31" i="7"/>
  <c r="C51" i="8"/>
  <c r="D79" i="8"/>
  <c r="F79" i="8" s="1"/>
  <c r="I51" i="8"/>
  <c r="H51" i="8"/>
  <c r="G51" i="8"/>
  <c r="B57" i="8"/>
  <c r="C57" i="8" s="1"/>
  <c r="D51" i="8"/>
  <c r="B51" i="8"/>
  <c r="E18" i="7"/>
  <c r="J59" i="7" s="1"/>
  <c r="F68" i="7" s="1"/>
  <c r="J52" i="7" l="1"/>
  <c r="C31" i="7"/>
  <c r="A38" i="7"/>
  <c r="B38" i="7" s="1"/>
  <c r="A42" i="7"/>
  <c r="B42" i="7" s="1"/>
  <c r="F47" i="7"/>
  <c r="A47" i="7"/>
  <c r="F42" i="7"/>
  <c r="F38" i="7"/>
  <c r="F31" i="7"/>
  <c r="B31" i="7"/>
  <c r="A31" i="7"/>
  <c r="I68" i="7"/>
  <c r="G66" i="7"/>
  <c r="E67" i="7"/>
  <c r="I67" i="7"/>
  <c r="G68" i="7"/>
  <c r="E66" i="7"/>
  <c r="I66" i="7"/>
  <c r="G67" i="7"/>
  <c r="E68" i="7"/>
  <c r="D66" i="7"/>
  <c r="H66" i="7"/>
  <c r="F67" i="7"/>
  <c r="D68" i="7"/>
  <c r="H68" i="7"/>
  <c r="F66" i="7"/>
  <c r="D67" i="7"/>
  <c r="H67" i="7"/>
  <c r="F32" i="7" l="1"/>
  <c r="H32" i="7"/>
  <c r="C38" i="7"/>
  <c r="D38" i="7" s="1"/>
  <c r="A46" i="7"/>
  <c r="I7" i="7" s="1"/>
  <c r="F46" i="7"/>
  <c r="I9" i="7" s="1"/>
  <c r="B46" i="7"/>
  <c r="M7" i="7" s="1"/>
  <c r="C42" i="7"/>
  <c r="C46" i="7" l="1"/>
  <c r="D42" i="7"/>
  <c r="D46" i="7" s="1"/>
  <c r="I91" i="8"/>
  <c r="H88" i="8"/>
  <c r="E5" i="8" s="1"/>
  <c r="I88" i="8"/>
  <c r="E5" i="7" l="1"/>
  <c r="A4" i="2" l="1"/>
  <c r="T68" i="2" s="1"/>
  <c r="F41" i="6"/>
  <c r="J2" i="6"/>
  <c r="J66" i="7"/>
  <c r="J67" i="7"/>
  <c r="J68" i="7"/>
  <c r="Q61" i="2" l="1"/>
  <c r="T72" i="2"/>
  <c r="K47" i="2"/>
  <c r="Q58" i="2"/>
  <c r="K45" i="2"/>
  <c r="N61" i="2"/>
  <c r="H46" i="2"/>
  <c r="N73" i="2"/>
  <c r="P50" i="6"/>
  <c r="N36" i="2"/>
  <c r="E74" i="2"/>
  <c r="K20" i="2"/>
  <c r="Q57" i="2"/>
  <c r="E60" i="2"/>
  <c r="K57" i="2"/>
  <c r="H31" i="2"/>
  <c r="E11" i="2"/>
  <c r="E49" i="2"/>
  <c r="H52" i="2"/>
  <c r="K24" i="2"/>
  <c r="Q63" i="2"/>
  <c r="T61" i="2"/>
  <c r="E38" i="2"/>
  <c r="E75" i="2"/>
  <c r="K38" i="2"/>
  <c r="K58" i="2"/>
  <c r="E57" i="2"/>
  <c r="H48" i="2"/>
  <c r="H73" i="2"/>
  <c r="K53" i="2"/>
  <c r="H19" i="2"/>
  <c r="K59" i="2"/>
  <c r="N37" i="2"/>
  <c r="N74" i="2"/>
  <c r="E28" i="2"/>
  <c r="E68" i="2"/>
  <c r="N57" i="2"/>
  <c r="H38" i="2"/>
  <c r="H43" i="2"/>
  <c r="H12" i="2"/>
  <c r="H37" i="2"/>
  <c r="H74" i="2"/>
  <c r="N55" i="2"/>
  <c r="Q70" i="2"/>
  <c r="K31" i="2"/>
  <c r="K55" i="2"/>
  <c r="N33" i="2"/>
  <c r="N70" i="2"/>
  <c r="Q54" i="2"/>
  <c r="Q39" i="2"/>
  <c r="Q64" i="2"/>
  <c r="T74" i="2"/>
  <c r="E51" i="2"/>
  <c r="H71" i="2"/>
  <c r="Q62" i="2"/>
  <c r="H27" i="2"/>
  <c r="E23" i="2"/>
  <c r="K19" i="2"/>
  <c r="K44" i="2"/>
  <c r="N34" i="2"/>
  <c r="T55" i="2"/>
  <c r="E14" i="2"/>
  <c r="Q43" i="2"/>
  <c r="N72" i="2"/>
  <c r="Q60" i="2"/>
  <c r="T70" i="2"/>
  <c r="E47" i="2"/>
  <c r="Q68" i="2"/>
  <c r="E53" i="2"/>
  <c r="H13" i="2"/>
  <c r="H50" i="2"/>
  <c r="N31" i="2"/>
  <c r="K61" i="2"/>
  <c r="H11" i="2"/>
  <c r="Q73" i="2"/>
  <c r="T52" i="2"/>
  <c r="N52" i="2"/>
  <c r="K35" i="2"/>
  <c r="H28" i="2"/>
  <c r="E13" i="2"/>
  <c r="Q40" i="2"/>
  <c r="K60" i="2"/>
  <c r="H53" i="2"/>
  <c r="E54" i="2"/>
  <c r="T50" i="2"/>
  <c r="N50" i="2"/>
  <c r="K33" i="2"/>
  <c r="H26" i="2"/>
  <c r="E27" i="2"/>
  <c r="T71" i="2"/>
  <c r="N71" i="2"/>
  <c r="K54" i="2"/>
  <c r="H47" i="2"/>
  <c r="E24" i="2"/>
  <c r="T75" i="2"/>
  <c r="K74" i="2"/>
  <c r="H35" i="2"/>
  <c r="Q59" i="2"/>
  <c r="K63" i="2"/>
  <c r="E73" i="2"/>
  <c r="Q52" i="2"/>
  <c r="Q51" i="2"/>
  <c r="K71" i="2"/>
  <c r="H64" i="2"/>
  <c r="E65" i="2"/>
  <c r="T49" i="2"/>
  <c r="N49" i="2"/>
  <c r="K32" i="2"/>
  <c r="H25" i="2"/>
  <c r="E26" i="2"/>
  <c r="Q49" i="2"/>
  <c r="K69" i="2"/>
  <c r="H62" i="2"/>
  <c r="E63" i="2"/>
  <c r="T59" i="2"/>
  <c r="H67" i="2"/>
  <c r="N48" i="2"/>
  <c r="E41" i="2"/>
  <c r="Q55" i="2"/>
  <c r="K75" i="2"/>
  <c r="H68" i="2"/>
  <c r="E69" i="2"/>
  <c r="T53" i="2"/>
  <c r="N53" i="2"/>
  <c r="K36" i="2"/>
  <c r="H29" i="2"/>
  <c r="E30" i="2"/>
  <c r="Q53" i="2"/>
  <c r="K73" i="2"/>
  <c r="H66" i="2"/>
  <c r="E67" i="2"/>
  <c r="E64" i="2"/>
  <c r="Q74" i="2"/>
  <c r="N47" i="2"/>
  <c r="K30" i="2"/>
  <c r="H23" i="2"/>
  <c r="N41" i="2"/>
  <c r="Q41" i="2"/>
  <c r="E36" i="2"/>
  <c r="E72" i="2"/>
  <c r="E34" i="2"/>
  <c r="E71" i="2"/>
  <c r="K34" i="2"/>
  <c r="N62" i="2"/>
  <c r="E48" i="2"/>
  <c r="E50" i="2"/>
  <c r="H22" i="2"/>
  <c r="K50" i="2"/>
  <c r="T62" i="2"/>
  <c r="H59" i="2"/>
  <c r="N68" i="2"/>
  <c r="K51" i="2"/>
  <c r="H44" i="2"/>
  <c r="E45" i="2"/>
  <c r="Q56" i="2"/>
  <c r="N29" i="2"/>
  <c r="H69" i="2"/>
  <c r="E70" i="2"/>
  <c r="T66" i="2"/>
  <c r="N66" i="2"/>
  <c r="K49" i="2"/>
  <c r="H42" i="2"/>
  <c r="E43" i="2"/>
  <c r="E12" i="2"/>
  <c r="Q50" i="2"/>
  <c r="K70" i="2"/>
  <c r="H63" i="2"/>
  <c r="E56" i="2"/>
  <c r="E20" i="2"/>
  <c r="N59" i="2"/>
  <c r="H51" i="2"/>
  <c r="T64" i="2"/>
  <c r="N32" i="2"/>
  <c r="H40" i="2"/>
  <c r="T57" i="2"/>
  <c r="Q67" i="2"/>
  <c r="N40" i="2"/>
  <c r="K23" i="2"/>
  <c r="H16" i="2"/>
  <c r="T65" i="2"/>
  <c r="N65" i="2"/>
  <c r="K48" i="2"/>
  <c r="H41" i="2"/>
  <c r="E42" i="2"/>
  <c r="Q65" i="2"/>
  <c r="N38" i="2"/>
  <c r="K21" i="2"/>
  <c r="H14" i="2"/>
  <c r="E52" i="2"/>
  <c r="K42" i="2"/>
  <c r="Q75" i="2"/>
  <c r="H24" i="2"/>
  <c r="Q71" i="2"/>
  <c r="N44" i="2"/>
  <c r="K27" i="2"/>
  <c r="H20" i="2"/>
  <c r="T69" i="2"/>
  <c r="N69" i="2"/>
  <c r="K52" i="2"/>
  <c r="H45" i="2"/>
  <c r="E46" i="2"/>
  <c r="Q69" i="2"/>
  <c r="N42" i="2"/>
  <c r="K25" i="2"/>
  <c r="H18" i="2"/>
  <c r="E19" i="2"/>
  <c r="T63" i="2"/>
  <c r="N63" i="2"/>
  <c r="K46" i="2"/>
  <c r="H39" i="2"/>
  <c r="E33" i="2"/>
  <c r="E18" i="2"/>
  <c r="E55" i="2"/>
  <c r="H75" i="2"/>
  <c r="H33" i="2"/>
  <c r="H70" i="2"/>
  <c r="N51" i="2"/>
  <c r="E66" i="2"/>
  <c r="K66" i="2"/>
  <c r="H49" i="2"/>
  <c r="K29" i="2"/>
  <c r="N67" i="2"/>
  <c r="K72" i="2"/>
  <c r="Q46" i="2"/>
  <c r="Q47" i="2"/>
  <c r="K67" i="2"/>
  <c r="H60" i="2"/>
  <c r="E61" i="2"/>
  <c r="Q72" i="2"/>
  <c r="N45" i="2"/>
  <c r="K28" i="2"/>
  <c r="H21" i="2"/>
  <c r="E22" i="2"/>
  <c r="Q45" i="2"/>
  <c r="K65" i="2"/>
  <c r="H58" i="2"/>
  <c r="E59" i="2"/>
  <c r="E44" i="2"/>
  <c r="Q66" i="2"/>
  <c r="N39" i="2"/>
  <c r="K22" i="2"/>
  <c r="H15" i="2"/>
  <c r="E31" i="2"/>
  <c r="N75" i="2"/>
  <c r="K26" i="2"/>
  <c r="E17" i="2"/>
  <c r="N64" i="2"/>
  <c r="H56" i="2"/>
  <c r="T73" i="2"/>
  <c r="T56" i="2"/>
  <c r="N56" i="2"/>
  <c r="K39" i="2"/>
  <c r="H32" i="2"/>
  <c r="E25" i="2"/>
  <c r="Q44" i="2"/>
  <c r="K64" i="2"/>
  <c r="H57" i="2"/>
  <c r="E58" i="2"/>
  <c r="T54" i="2"/>
  <c r="N54" i="2"/>
  <c r="K37" i="2"/>
  <c r="H30" i="2"/>
  <c r="E15" i="2"/>
  <c r="N43" i="2"/>
  <c r="E32" i="2"/>
  <c r="H72" i="2"/>
  <c r="T60" i="2"/>
  <c r="N60" i="2"/>
  <c r="K43" i="2"/>
  <c r="H36" i="2"/>
  <c r="E37" i="2"/>
  <c r="Q48" i="2"/>
  <c r="K68" i="2"/>
  <c r="H61" i="2"/>
  <c r="E62" i="2"/>
  <c r="T58" i="2"/>
  <c r="N58" i="2"/>
  <c r="K41" i="2"/>
  <c r="H34" i="2"/>
  <c r="E35" i="2"/>
  <c r="E21" i="2"/>
  <c r="Q42" i="2"/>
  <c r="K62" i="2"/>
  <c r="H55" i="2"/>
  <c r="E40" i="2"/>
  <c r="H17" i="2"/>
  <c r="H54" i="2"/>
  <c r="N35" i="2"/>
  <c r="K40" i="2"/>
  <c r="N30" i="2"/>
  <c r="T51" i="2"/>
  <c r="H65" i="2"/>
  <c r="E29" i="2"/>
  <c r="K56" i="2"/>
  <c r="N46" i="2"/>
  <c r="T67" i="2"/>
  <c r="E16" i="2"/>
  <c r="E39" i="2"/>
  <c r="I71" i="7"/>
  <c r="I19" i="7" s="1"/>
  <c r="I7" i="8"/>
  <c r="D67" i="8" s="1"/>
  <c r="D69" i="8" s="1"/>
  <c r="E69" i="8" s="1"/>
  <c r="D70" i="8" s="1"/>
  <c r="I9" i="8"/>
  <c r="I11" i="8"/>
  <c r="L11" i="8" s="1"/>
  <c r="T9" i="2" l="1"/>
  <c r="Q9" i="2"/>
  <c r="S8" i="2" s="1"/>
  <c r="H9" i="2"/>
  <c r="J8" i="2" s="1"/>
  <c r="N9" i="2"/>
  <c r="K9" i="2"/>
  <c r="E9" i="2"/>
  <c r="L9" i="8"/>
  <c r="C85" i="8"/>
  <c r="D85" i="8" s="1"/>
  <c r="E85" i="8" s="1"/>
  <c r="G48" i="6" l="1"/>
  <c r="E37" i="8"/>
  <c r="E36" i="8"/>
  <c r="E35" i="8"/>
  <c r="E34" i="8"/>
  <c r="E33" i="8"/>
  <c r="E32" i="8"/>
  <c r="E31" i="8"/>
  <c r="E30" i="8"/>
  <c r="E29" i="8"/>
  <c r="E28" i="8"/>
  <c r="E27" i="8"/>
  <c r="J37" i="8"/>
  <c r="J36" i="8"/>
  <c r="J35" i="8"/>
  <c r="J34" i="8"/>
  <c r="J33" i="8"/>
  <c r="J32" i="8"/>
  <c r="J31" i="8"/>
  <c r="J30" i="8"/>
  <c r="J29" i="8"/>
  <c r="J28" i="8"/>
  <c r="D38" i="8"/>
  <c r="C38" i="8"/>
  <c r="B38" i="8"/>
  <c r="K30" i="6"/>
  <c r="K24" i="6"/>
  <c r="J38" i="8" l="1"/>
  <c r="E38" i="8"/>
  <c r="E39" i="8" s="1"/>
  <c r="G50" i="6"/>
  <c r="J31" i="6"/>
  <c r="K31" i="6" s="1"/>
  <c r="J29" i="6"/>
  <c r="K29" i="6" s="1"/>
  <c r="J28" i="6"/>
  <c r="K28" i="6" s="1"/>
  <c r="J27" i="6"/>
  <c r="K27" i="6" s="1"/>
  <c r="J26" i="6"/>
  <c r="K26" i="6" s="1"/>
  <c r="J25" i="6"/>
  <c r="K25" i="6" s="1"/>
  <c r="J23" i="6"/>
  <c r="J22" i="6"/>
  <c r="J21" i="6"/>
  <c r="K21" i="6" s="1"/>
  <c r="J20" i="6"/>
  <c r="J16" i="6"/>
  <c r="J14" i="6"/>
  <c r="J13" i="6"/>
  <c r="K13" i="6" s="1"/>
  <c r="J12" i="6"/>
  <c r="J11" i="6"/>
  <c r="J10" i="6"/>
  <c r="J8" i="6"/>
  <c r="K8" i="6" s="1"/>
  <c r="J7" i="6"/>
  <c r="J6" i="6"/>
  <c r="G32" i="6"/>
  <c r="G17" i="6"/>
  <c r="H42" i="7" l="1"/>
  <c r="H46" i="7" s="1"/>
  <c r="G57" i="8"/>
  <c r="H38" i="7"/>
  <c r="I38" i="7" s="1"/>
  <c r="I13" i="8"/>
  <c r="C82" i="8"/>
  <c r="K5" i="6"/>
  <c r="K12" i="6"/>
  <c r="K9" i="6"/>
  <c r="K11" i="6"/>
  <c r="K23" i="6"/>
  <c r="K15" i="6"/>
  <c r="K7" i="6"/>
  <c r="K20" i="6"/>
  <c r="K6" i="6"/>
  <c r="K16" i="6"/>
  <c r="K10" i="6"/>
  <c r="K14" i="6"/>
  <c r="K22" i="6"/>
  <c r="I42" i="7" l="1"/>
  <c r="I46" i="7" s="1"/>
  <c r="D31" i="7" l="1"/>
  <c r="A32" i="7" s="1"/>
  <c r="A52" i="7"/>
  <c r="D71" i="7" l="1"/>
  <c r="I17" i="7" s="1"/>
  <c r="I15" i="7"/>
  <c r="B52" i="7"/>
  <c r="E52" i="7"/>
  <c r="T8" i="2" l="1"/>
  <c r="V8" i="2" s="1"/>
  <c r="Q8" i="2"/>
  <c r="H8" i="2"/>
  <c r="N8" i="2"/>
  <c r="P8" i="2" s="1"/>
  <c r="K8" i="2"/>
  <c r="M8" i="2" s="1"/>
  <c r="E8" i="2"/>
  <c r="G8" i="2" s="1"/>
  <c r="C52" i="7"/>
  <c r="I11" i="7"/>
  <c r="G44" i="6" l="1"/>
  <c r="G46" i="6"/>
  <c r="D52" i="7"/>
  <c r="F52" i="7" s="1"/>
  <c r="G52" i="7" s="1"/>
  <c r="M11" i="7"/>
  <c r="D57" i="8" l="1"/>
  <c r="E57" i="8" l="1"/>
  <c r="I57" i="8" l="1"/>
  <c r="J57" i="8" s="1"/>
  <c r="B62" i="8" l="1"/>
  <c r="E51" i="8"/>
  <c r="B52" i="8" s="1"/>
  <c r="J51" i="8"/>
  <c r="G52" i="8" l="1"/>
  <c r="B75" i="8"/>
  <c r="B67" i="8"/>
  <c r="F62" i="8"/>
  <c r="C62" i="8"/>
  <c r="B69" i="8" l="1"/>
  <c r="C69" i="8" s="1"/>
  <c r="B70" i="8" s="1"/>
  <c r="D62" i="8"/>
  <c r="J62" i="8" s="1"/>
  <c r="I75" i="8" s="1"/>
  <c r="E62" i="8" l="1"/>
  <c r="G62" i="8" s="1"/>
  <c r="H62" i="8" s="1"/>
  <c r="F75" i="8"/>
  <c r="I15" i="8" l="1"/>
  <c r="D82" i="8" s="1"/>
  <c r="E82" i="8" l="1"/>
  <c r="G82" i="8"/>
  <c r="I17" i="8"/>
  <c r="T6" i="2" l="1"/>
  <c r="U68" i="2" s="1"/>
  <c r="E6" i="2"/>
  <c r="N6" i="2"/>
  <c r="Q6" i="2"/>
  <c r="K6" i="2"/>
  <c r="L45" i="2" s="1"/>
  <c r="H6" i="2"/>
  <c r="I82" i="8"/>
  <c r="U51" i="2" l="1"/>
  <c r="U67" i="2"/>
  <c r="U58" i="2"/>
  <c r="U74" i="2"/>
  <c r="V74" i="2" s="1"/>
  <c r="U65" i="2"/>
  <c r="U66" i="2"/>
  <c r="U61" i="2"/>
  <c r="F29" i="2"/>
  <c r="F33" i="2"/>
  <c r="F37" i="2"/>
  <c r="F41" i="2"/>
  <c r="F13" i="2"/>
  <c r="F46" i="2"/>
  <c r="F70" i="2"/>
  <c r="G70" i="2" s="1"/>
  <c r="F74" i="2"/>
  <c r="G74" i="2" s="1"/>
  <c r="F11" i="2"/>
  <c r="F27" i="2"/>
  <c r="F21" i="2"/>
  <c r="F61" i="2"/>
  <c r="F65" i="2"/>
  <c r="F69" i="2"/>
  <c r="G69" i="2" s="1"/>
  <c r="F73" i="2"/>
  <c r="G73" i="2" s="1"/>
  <c r="F23" i="2"/>
  <c r="F51" i="2"/>
  <c r="F63" i="2"/>
  <c r="F75" i="2"/>
  <c r="G75" i="2" s="1"/>
  <c r="F12" i="2"/>
  <c r="F48" i="2"/>
  <c r="F31" i="2"/>
  <c r="F45" i="2"/>
  <c r="F49" i="2"/>
  <c r="F53" i="2"/>
  <c r="F57" i="2"/>
  <c r="F42" i="2"/>
  <c r="F32" i="2"/>
  <c r="F36" i="2"/>
  <c r="F40" i="2"/>
  <c r="F44" i="2"/>
  <c r="F15" i="2"/>
  <c r="F54" i="2"/>
  <c r="F58" i="2"/>
  <c r="F66" i="2"/>
  <c r="F25" i="2"/>
  <c r="F55" i="2"/>
  <c r="F14" i="2"/>
  <c r="F60" i="2"/>
  <c r="F47" i="2"/>
  <c r="F67" i="2"/>
  <c r="F64" i="2"/>
  <c r="F68" i="2"/>
  <c r="F72" i="2"/>
  <c r="G72" i="2" s="1"/>
  <c r="F19" i="2"/>
  <c r="F39" i="2"/>
  <c r="F17" i="2"/>
  <c r="F16" i="2"/>
  <c r="F20" i="2"/>
  <c r="F24" i="2"/>
  <c r="F28" i="2"/>
  <c r="F52" i="2"/>
  <c r="F50" i="2"/>
  <c r="F22" i="2"/>
  <c r="F26" i="2"/>
  <c r="F30" i="2"/>
  <c r="F34" i="2"/>
  <c r="F43" i="2"/>
  <c r="F62" i="2"/>
  <c r="F38" i="2"/>
  <c r="F71" i="2"/>
  <c r="G71" i="2" s="1"/>
  <c r="F18" i="2"/>
  <c r="F35" i="2"/>
  <c r="F59" i="2"/>
  <c r="F56" i="2"/>
  <c r="U75" i="2"/>
  <c r="V75" i="2" s="1"/>
  <c r="U73" i="2"/>
  <c r="V73" i="2" s="1"/>
  <c r="U55" i="2"/>
  <c r="U56" i="2"/>
  <c r="U64" i="2"/>
  <c r="U52" i="2"/>
  <c r="U53" i="2"/>
  <c r="U59" i="2"/>
  <c r="U50" i="2"/>
  <c r="U49" i="2"/>
  <c r="U62" i="2"/>
  <c r="U71" i="2"/>
  <c r="V71" i="2" s="1"/>
  <c r="U63" i="2"/>
  <c r="U69" i="2"/>
  <c r="V69" i="2" s="1"/>
  <c r="U60" i="2"/>
  <c r="U54" i="2"/>
  <c r="U70" i="2"/>
  <c r="V70" i="2" s="1"/>
  <c r="U72" i="2"/>
  <c r="V72" i="2" s="1"/>
  <c r="U57" i="2"/>
  <c r="P44" i="6"/>
  <c r="O50" i="2"/>
  <c r="O74" i="2"/>
  <c r="P74" i="2" s="1"/>
  <c r="O30" i="2"/>
  <c r="O61" i="2"/>
  <c r="O75" i="2"/>
  <c r="P75" i="2" s="1"/>
  <c r="O73" i="2"/>
  <c r="P73" i="2" s="1"/>
  <c r="O38" i="2"/>
  <c r="O71" i="2"/>
  <c r="P71" i="2" s="1"/>
  <c r="O35" i="2"/>
  <c r="O34" i="2"/>
  <c r="O68" i="2"/>
  <c r="O32" i="2"/>
  <c r="O31" i="2"/>
  <c r="R63" i="2"/>
  <c r="R47" i="2"/>
  <c r="R68" i="2"/>
  <c r="R52" i="2"/>
  <c r="R70" i="2"/>
  <c r="S70" i="2" s="1"/>
  <c r="R73" i="2"/>
  <c r="S73" i="2" s="1"/>
  <c r="R57" i="2"/>
  <c r="R41" i="2"/>
  <c r="R50" i="2"/>
  <c r="R67" i="2"/>
  <c r="R51" i="2"/>
  <c r="R72" i="2"/>
  <c r="S72" i="2" s="1"/>
  <c r="R56" i="2"/>
  <c r="R40" i="2"/>
  <c r="R46" i="2"/>
  <c r="R61" i="2"/>
  <c r="R45" i="2"/>
  <c r="R58" i="2"/>
  <c r="R71" i="2"/>
  <c r="S71" i="2" s="1"/>
  <c r="R55" i="2"/>
  <c r="R39" i="2"/>
  <c r="R60" i="2"/>
  <c r="R44" i="2"/>
  <c r="R54" i="2"/>
  <c r="R65" i="2"/>
  <c r="R49" i="2"/>
  <c r="R66" i="2"/>
  <c r="R75" i="2"/>
  <c r="S75" i="2" s="1"/>
  <c r="R59" i="2"/>
  <c r="R43" i="2"/>
  <c r="R64" i="2"/>
  <c r="R48" i="2"/>
  <c r="R62" i="2"/>
  <c r="R69" i="2"/>
  <c r="S69" i="2" s="1"/>
  <c r="R53" i="2"/>
  <c r="R74" i="2"/>
  <c r="S74" i="2" s="1"/>
  <c r="R42" i="2"/>
  <c r="O55" i="2"/>
  <c r="O43" i="2"/>
  <c r="O41" i="2"/>
  <c r="O53" i="2"/>
  <c r="O45" i="2"/>
  <c r="O29" i="2"/>
  <c r="O37" i="2"/>
  <c r="O33" i="2"/>
  <c r="O59" i="2"/>
  <c r="O58" i="2"/>
  <c r="O69" i="2"/>
  <c r="P69" i="2" s="1"/>
  <c r="O36" i="2"/>
  <c r="O39" i="2"/>
  <c r="O42" i="2"/>
  <c r="O72" i="2"/>
  <c r="P72" i="2" s="1"/>
  <c r="O62" i="2"/>
  <c r="O64" i="2"/>
  <c r="O67" i="2"/>
  <c r="O70" i="2"/>
  <c r="P70" i="2" s="1"/>
  <c r="O60" i="2"/>
  <c r="O63" i="2"/>
  <c r="O66" i="2"/>
  <c r="O52" i="2"/>
  <c r="O56" i="2"/>
  <c r="O49" i="2"/>
  <c r="O65" i="2"/>
  <c r="O57" i="2"/>
  <c r="O40" i="2"/>
  <c r="O46" i="2"/>
  <c r="O48" i="2"/>
  <c r="O51" i="2"/>
  <c r="O54" i="2"/>
  <c r="O44" i="2"/>
  <c r="O47" i="2"/>
  <c r="L37" i="2"/>
  <c r="L46" i="2"/>
  <c r="L74" i="2"/>
  <c r="M74" i="2" s="1"/>
  <c r="L36" i="2"/>
  <c r="L65" i="2"/>
  <c r="L72" i="2"/>
  <c r="M72" i="2" s="1"/>
  <c r="L31" i="2"/>
  <c r="L52" i="2"/>
  <c r="L38" i="2"/>
  <c r="L59" i="2"/>
  <c r="L73" i="2"/>
  <c r="M73" i="2" s="1"/>
  <c r="L23" i="2"/>
  <c r="L51" i="2"/>
  <c r="I62" i="2"/>
  <c r="I46" i="2"/>
  <c r="I30" i="2"/>
  <c r="I14" i="2"/>
  <c r="I17" i="2"/>
  <c r="I63" i="2"/>
  <c r="I47" i="2"/>
  <c r="I31" i="2"/>
  <c r="I15" i="2"/>
  <c r="I53" i="2"/>
  <c r="I13" i="2"/>
  <c r="I60" i="2"/>
  <c r="I44" i="2"/>
  <c r="I28" i="2"/>
  <c r="I12" i="2"/>
  <c r="I29" i="2"/>
  <c r="I72" i="2"/>
  <c r="J72" i="2" s="1"/>
  <c r="I69" i="2"/>
  <c r="J69" i="2" s="1"/>
  <c r="I66" i="2"/>
  <c r="I50" i="2"/>
  <c r="I34" i="2"/>
  <c r="I18" i="2"/>
  <c r="I33" i="2"/>
  <c r="I67" i="2"/>
  <c r="I51" i="2"/>
  <c r="I35" i="2"/>
  <c r="I19" i="2"/>
  <c r="I65" i="2"/>
  <c r="I25" i="2"/>
  <c r="I64" i="2"/>
  <c r="I48" i="2"/>
  <c r="I32" i="2"/>
  <c r="I16" i="2"/>
  <c r="I41" i="2"/>
  <c r="I45" i="2"/>
  <c r="I24" i="2"/>
  <c r="I70" i="2"/>
  <c r="J70" i="2" s="1"/>
  <c r="I54" i="2"/>
  <c r="I38" i="2"/>
  <c r="I22" i="2"/>
  <c r="I49" i="2"/>
  <c r="I71" i="2"/>
  <c r="J71" i="2" s="1"/>
  <c r="I55" i="2"/>
  <c r="I39" i="2"/>
  <c r="I23" i="2"/>
  <c r="I73" i="2"/>
  <c r="J73" i="2" s="1"/>
  <c r="I37" i="2"/>
  <c r="I68" i="2"/>
  <c r="I52" i="2"/>
  <c r="I36" i="2"/>
  <c r="I20" i="2"/>
  <c r="I57" i="2"/>
  <c r="I74" i="2"/>
  <c r="J74" i="2" s="1"/>
  <c r="I58" i="2"/>
  <c r="I42" i="2"/>
  <c r="I26" i="2"/>
  <c r="I61" i="2"/>
  <c r="I75" i="2"/>
  <c r="J75" i="2" s="1"/>
  <c r="I59" i="2"/>
  <c r="I43" i="2"/>
  <c r="I27" i="2"/>
  <c r="I11" i="2"/>
  <c r="I56" i="2"/>
  <c r="I40" i="2"/>
  <c r="I21" i="2"/>
  <c r="L66" i="2"/>
  <c r="L30" i="2"/>
  <c r="L21" i="2"/>
  <c r="L44" i="2"/>
  <c r="L71" i="2"/>
  <c r="M71" i="2" s="1"/>
  <c r="L58" i="2"/>
  <c r="L49" i="2"/>
  <c r="L35" i="2"/>
  <c r="L22" i="2"/>
  <c r="L48" i="2"/>
  <c r="L32" i="2"/>
  <c r="L43" i="2"/>
  <c r="L20" i="2"/>
  <c r="L63" i="2"/>
  <c r="L50" i="2"/>
  <c r="L41" i="2"/>
  <c r="L27" i="2"/>
  <c r="L60" i="2"/>
  <c r="L24" i="2"/>
  <c r="L69" i="2"/>
  <c r="M69" i="2" s="1"/>
  <c r="L55" i="2"/>
  <c r="L42" i="2"/>
  <c r="L33" i="2"/>
  <c r="L19" i="2"/>
  <c r="L40" i="2"/>
  <c r="L70" i="2"/>
  <c r="M70" i="2" s="1"/>
  <c r="L61" i="2"/>
  <c r="L29" i="2"/>
  <c r="L64" i="2"/>
  <c r="L57" i="2"/>
  <c r="L47" i="2"/>
  <c r="L34" i="2"/>
  <c r="L25" i="2"/>
  <c r="L56" i="2"/>
  <c r="L75" i="2"/>
  <c r="M75" i="2" s="1"/>
  <c r="L62" i="2"/>
  <c r="L53" i="2"/>
  <c r="L39" i="2"/>
  <c r="L26" i="2"/>
  <c r="L68" i="2"/>
  <c r="L28" i="2"/>
  <c r="L67" i="2"/>
  <c r="L54" i="2"/>
  <c r="F85" i="8"/>
  <c r="I21" i="8" s="1"/>
  <c r="H85" i="8"/>
  <c r="I19" i="8" l="1"/>
  <c r="Q7" i="2" l="1"/>
  <c r="S68" i="2" s="1"/>
  <c r="T7" i="2"/>
  <c r="H7" i="2"/>
  <c r="J68" i="2" s="1"/>
  <c r="N7" i="2"/>
  <c r="K7" i="2"/>
  <c r="M68" i="2" s="1"/>
  <c r="E7" i="2"/>
  <c r="G67" i="2" l="1"/>
  <c r="G68" i="2"/>
  <c r="V67" i="2"/>
  <c r="V68" i="2"/>
  <c r="P67" i="2"/>
  <c r="P68" i="2"/>
  <c r="S51" i="2"/>
  <c r="S67" i="2"/>
  <c r="M39" i="2"/>
  <c r="M67" i="2"/>
  <c r="J60" i="2"/>
  <c r="J67" i="2"/>
  <c r="P46" i="6"/>
  <c r="C5" i="6" s="1"/>
  <c r="J46" i="2"/>
  <c r="J57" i="2"/>
  <c r="S57" i="2"/>
  <c r="J24" i="2"/>
  <c r="S63" i="2"/>
  <c r="J14" i="2"/>
  <c r="J56" i="2"/>
  <c r="J38" i="2"/>
  <c r="J53" i="2"/>
  <c r="S61" i="2"/>
  <c r="S47" i="2"/>
  <c r="J45" i="2"/>
  <c r="J12" i="2"/>
  <c r="S50" i="2"/>
  <c r="S59" i="2"/>
  <c r="S41" i="2"/>
  <c r="S64" i="2"/>
  <c r="S65" i="2"/>
  <c r="S40" i="2"/>
  <c r="V54" i="2"/>
  <c r="V49" i="2"/>
  <c r="V66" i="2"/>
  <c r="V61" i="2"/>
  <c r="V56" i="2"/>
  <c r="V62" i="2"/>
  <c r="V60" i="2"/>
  <c r="V59" i="2"/>
  <c r="V51" i="2"/>
  <c r="V55" i="2"/>
  <c r="V53" i="2"/>
  <c r="V57" i="2"/>
  <c r="V65" i="2"/>
  <c r="V50" i="2"/>
  <c r="V52" i="2"/>
  <c r="V58" i="2"/>
  <c r="V63" i="2"/>
  <c r="V64" i="2"/>
  <c r="S42" i="2"/>
  <c r="S52" i="2"/>
  <c r="S39" i="2"/>
  <c r="S44" i="2"/>
  <c r="S43" i="2"/>
  <c r="J52" i="2"/>
  <c r="J30" i="2"/>
  <c r="S53" i="2"/>
  <c r="S48" i="2"/>
  <c r="S49" i="2"/>
  <c r="S46" i="2"/>
  <c r="S60" i="2"/>
  <c r="S62" i="2"/>
  <c r="J47" i="2"/>
  <c r="S58" i="2"/>
  <c r="S54" i="2"/>
  <c r="S45" i="2"/>
  <c r="S55" i="2"/>
  <c r="S56" i="2"/>
  <c r="S66" i="2"/>
  <c r="J33" i="2"/>
  <c r="J34" i="2"/>
  <c r="P46" i="2"/>
  <c r="P44" i="2"/>
  <c r="P62" i="2"/>
  <c r="P61" i="2"/>
  <c r="P38" i="2"/>
  <c r="P42" i="2"/>
  <c r="P59" i="2"/>
  <c r="P43" i="2"/>
  <c r="P29" i="2"/>
  <c r="P60" i="2"/>
  <c r="P63" i="2"/>
  <c r="P52" i="2"/>
  <c r="P40" i="2"/>
  <c r="P54" i="2"/>
  <c r="P39" i="2"/>
  <c r="P57" i="2"/>
  <c r="P35" i="2"/>
  <c r="P36" i="2"/>
  <c r="P49" i="2"/>
  <c r="P58" i="2"/>
  <c r="P45" i="2"/>
  <c r="P48" i="2"/>
  <c r="P30" i="2"/>
  <c r="P64" i="2"/>
  <c r="P37" i="2"/>
  <c r="P65" i="2"/>
  <c r="P51" i="2"/>
  <c r="P50" i="2"/>
  <c r="P56" i="2"/>
  <c r="P32" i="2"/>
  <c r="P34" i="2"/>
  <c r="P66" i="2"/>
  <c r="P55" i="2"/>
  <c r="P53" i="2"/>
  <c r="P33" i="2"/>
  <c r="P47" i="2"/>
  <c r="P31" i="2"/>
  <c r="P41" i="2"/>
  <c r="J36" i="2"/>
  <c r="J26" i="2"/>
  <c r="J59" i="2"/>
  <c r="J20" i="2"/>
  <c r="J54" i="2"/>
  <c r="J42" i="2"/>
  <c r="J17" i="2"/>
  <c r="J51" i="2"/>
  <c r="J18" i="2"/>
  <c r="J35" i="2"/>
  <c r="J63" i="2"/>
  <c r="J31" i="2"/>
  <c r="J16" i="2"/>
  <c r="J64" i="2"/>
  <c r="J27" i="2"/>
  <c r="J39" i="2"/>
  <c r="J21" i="2"/>
  <c r="J55" i="2"/>
  <c r="J62" i="2"/>
  <c r="J11" i="2"/>
  <c r="J44" i="2"/>
  <c r="J28" i="2"/>
  <c r="J19" i="2"/>
  <c r="J29" i="2"/>
  <c r="J66" i="2"/>
  <c r="J25" i="2"/>
  <c r="J61" i="2"/>
  <c r="J49" i="2"/>
  <c r="J37" i="2"/>
  <c r="J22" i="2"/>
  <c r="J58" i="2"/>
  <c r="J43" i="2"/>
  <c r="J23" i="2"/>
  <c r="J40" i="2"/>
  <c r="J65" i="2"/>
  <c r="J48" i="2"/>
  <c r="J41" i="2"/>
  <c r="J32" i="2"/>
  <c r="J15" i="2"/>
  <c r="J13" i="2"/>
  <c r="J50" i="2"/>
  <c r="M41" i="2"/>
  <c r="M64" i="2"/>
  <c r="M54" i="2"/>
  <c r="M59" i="2"/>
  <c r="M40" i="2"/>
  <c r="M19" i="2"/>
  <c r="M33" i="2"/>
  <c r="M44" i="2"/>
  <c r="M32" i="2"/>
  <c r="M20" i="2"/>
  <c r="M29" i="2"/>
  <c r="M42" i="2"/>
  <c r="G22" i="2"/>
  <c r="G57" i="2"/>
  <c r="G53" i="2"/>
  <c r="G55" i="2"/>
  <c r="G59" i="2"/>
  <c r="G32" i="2"/>
  <c r="G12" i="2"/>
  <c r="G58" i="2"/>
  <c r="G29" i="2"/>
  <c r="G65" i="2"/>
  <c r="G60" i="2"/>
  <c r="G56" i="2"/>
  <c r="G52" i="2"/>
  <c r="G48" i="2"/>
  <c r="G50" i="2"/>
  <c r="G47" i="2"/>
  <c r="G27" i="2"/>
  <c r="G11" i="2"/>
  <c r="G20" i="2"/>
  <c r="G34" i="2"/>
  <c r="G35" i="2"/>
  <c r="G41" i="2"/>
  <c r="G37" i="2"/>
  <c r="G54" i="2"/>
  <c r="G30" i="2"/>
  <c r="G43" i="2"/>
  <c r="G31" i="2"/>
  <c r="G23" i="2"/>
  <c r="G15" i="2"/>
  <c r="G61" i="2"/>
  <c r="G24" i="2"/>
  <c r="G26" i="2"/>
  <c r="G19" i="2"/>
  <c r="G51" i="2"/>
  <c r="G42" i="2"/>
  <c r="G40" i="2"/>
  <c r="G18" i="2"/>
  <c r="G14" i="2"/>
  <c r="G49" i="2"/>
  <c r="G16" i="2"/>
  <c r="G36" i="2"/>
  <c r="G66" i="2"/>
  <c r="G62" i="2"/>
  <c r="G63" i="2"/>
  <c r="G64" i="2"/>
  <c r="G25" i="2"/>
  <c r="G21" i="2"/>
  <c r="G17" i="2"/>
  <c r="G13" i="2"/>
  <c r="G44" i="2"/>
  <c r="G28" i="2"/>
  <c r="G45" i="2"/>
  <c r="G39" i="2"/>
  <c r="G33" i="2"/>
  <c r="G46" i="2"/>
  <c r="G38" i="2"/>
  <c r="M57" i="2"/>
  <c r="M43" i="2"/>
  <c r="M47" i="2"/>
  <c r="M30" i="2"/>
  <c r="M31" i="2"/>
  <c r="M35" i="2"/>
  <c r="M66" i="2"/>
  <c r="M60" i="2"/>
  <c r="M23" i="2"/>
  <c r="M53" i="2"/>
  <c r="M26" i="2"/>
  <c r="M22" i="2"/>
  <c r="M46" i="2"/>
  <c r="M27" i="2"/>
  <c r="M48" i="2"/>
  <c r="M37" i="2"/>
  <c r="M61" i="2"/>
  <c r="M21" i="2"/>
  <c r="M36" i="2"/>
  <c r="M58" i="2"/>
  <c r="M55" i="2"/>
  <c r="M65" i="2"/>
  <c r="M51" i="2"/>
  <c r="M25" i="2"/>
  <c r="M56" i="2"/>
  <c r="M50" i="2"/>
  <c r="M62" i="2"/>
  <c r="M63" i="2"/>
  <c r="M24" i="2"/>
  <c r="M28" i="2"/>
  <c r="M45" i="2"/>
  <c r="M38" i="2"/>
  <c r="M34" i="2"/>
  <c r="M52" i="2"/>
  <c r="M49" i="2"/>
  <c r="C8" i="6" l="1"/>
  <c r="D8" i="6" s="1"/>
  <c r="E8" i="6" s="1"/>
  <c r="F8" i="6" s="1"/>
  <c r="C10" i="6"/>
  <c r="D10" i="6" s="1"/>
  <c r="E10" i="6" s="1"/>
  <c r="F10" i="6" s="1"/>
  <c r="C13" i="6"/>
  <c r="D13" i="6" s="1"/>
  <c r="E13" i="6" s="1"/>
  <c r="F13" i="6" s="1"/>
  <c r="C6" i="6"/>
  <c r="D6" i="6" s="1"/>
  <c r="E6" i="6" s="1"/>
  <c r="F6" i="6" s="1"/>
  <c r="C11" i="6"/>
  <c r="D11" i="6" s="1"/>
  <c r="E11" i="6" s="1"/>
  <c r="F11" i="6" s="1"/>
  <c r="C29" i="6"/>
  <c r="C30" i="6"/>
  <c r="C22" i="6"/>
  <c r="C31" i="6"/>
  <c r="C27" i="6"/>
  <c r="C23" i="6"/>
  <c r="C16" i="6"/>
  <c r="C21" i="6"/>
  <c r="C26" i="6"/>
  <c r="C28" i="6"/>
  <c r="C24" i="6"/>
  <c r="C20" i="6"/>
  <c r="C25" i="6"/>
  <c r="C14" i="6"/>
  <c r="C15" i="6"/>
  <c r="C7" i="6"/>
  <c r="C9" i="6"/>
  <c r="D9" i="6" s="1"/>
  <c r="E9" i="6" s="1"/>
  <c r="F9" i="6" s="1"/>
  <c r="C12" i="6"/>
  <c r="D12" i="6" s="1"/>
  <c r="E12" i="6" s="1"/>
  <c r="F12" i="6" s="1"/>
  <c r="D5" i="6"/>
  <c r="C17" i="6" l="1"/>
  <c r="D7" i="6"/>
  <c r="E7" i="6" s="1"/>
  <c r="F7" i="6" s="1"/>
  <c r="D25" i="6"/>
  <c r="E25" i="6" s="1"/>
  <c r="F25" i="6" s="1"/>
  <c r="D26" i="6"/>
  <c r="E26" i="6" s="1"/>
  <c r="F26" i="6" s="1"/>
  <c r="D27" i="6"/>
  <c r="E27" i="6" s="1"/>
  <c r="F27" i="6" s="1"/>
  <c r="D29" i="6"/>
  <c r="E29" i="6" s="1"/>
  <c r="F29" i="6" s="1"/>
  <c r="D14" i="6"/>
  <c r="D28" i="6"/>
  <c r="E28" i="6" s="1"/>
  <c r="F28" i="6" s="1"/>
  <c r="D23" i="6"/>
  <c r="E23" i="6" s="1"/>
  <c r="F23" i="6" s="1"/>
  <c r="D30" i="6"/>
  <c r="E30" i="6" s="1"/>
  <c r="F30" i="6" s="1"/>
  <c r="D15" i="6"/>
  <c r="E15" i="6" s="1"/>
  <c r="F15" i="6" s="1"/>
  <c r="D24" i="6"/>
  <c r="E24" i="6" s="1"/>
  <c r="F24" i="6" s="1"/>
  <c r="D16" i="6"/>
  <c r="E16" i="6" s="1"/>
  <c r="F16" i="6" s="1"/>
  <c r="D22" i="6"/>
  <c r="E22" i="6" s="1"/>
  <c r="F22" i="6" s="1"/>
  <c r="D20" i="6"/>
  <c r="C32" i="6"/>
  <c r="D21" i="6"/>
  <c r="E21" i="6" s="1"/>
  <c r="F21" i="6" s="1"/>
  <c r="D31" i="6"/>
  <c r="E31" i="6" s="1"/>
  <c r="F31" i="6" s="1"/>
  <c r="E5" i="6"/>
  <c r="D32" i="6" l="1"/>
  <c r="D17" i="6"/>
  <c r="E20" i="6"/>
  <c r="E14" i="6"/>
  <c r="F14" i="6" s="1"/>
  <c r="F5" i="6"/>
  <c r="E17" i="6" l="1"/>
  <c r="F17" i="6"/>
  <c r="F20" i="6"/>
  <c r="F32" i="6" s="1"/>
  <c r="E32" i="6"/>
</calcChain>
</file>

<file path=xl/sharedStrings.xml><?xml version="1.0" encoding="utf-8"?>
<sst xmlns="http://schemas.openxmlformats.org/spreadsheetml/2006/main" count="389" uniqueCount="201">
  <si>
    <t>Year</t>
  </si>
  <si>
    <t xml:space="preserve">No. </t>
  </si>
  <si>
    <t>Index</t>
  </si>
  <si>
    <t>C</t>
  </si>
  <si>
    <t>D</t>
  </si>
  <si>
    <t>E</t>
  </si>
  <si>
    <t>F</t>
  </si>
  <si>
    <t>01.08.1997</t>
  </si>
  <si>
    <t>01.08.2002</t>
  </si>
  <si>
    <t>01.08.2007</t>
  </si>
  <si>
    <t>01.08.2012</t>
  </si>
  <si>
    <t>A</t>
  </si>
  <si>
    <t>B</t>
  </si>
  <si>
    <t>01.11.1993</t>
  </si>
  <si>
    <t>&lt;01.11.1993</t>
  </si>
  <si>
    <t>Basic</t>
  </si>
  <si>
    <t>TDS</t>
  </si>
  <si>
    <t>DR</t>
  </si>
  <si>
    <t>Gross</t>
  </si>
  <si>
    <t>Net Paid</t>
  </si>
  <si>
    <t>Short</t>
  </si>
  <si>
    <t>Slab</t>
  </si>
  <si>
    <t>TOTAL</t>
  </si>
  <si>
    <t>◄ Enter Index For April (First Year)</t>
  </si>
  <si>
    <t>◄ Enter Index For August (First Year)</t>
  </si>
  <si>
    <t>◄ Enter Index For February (First Year)</t>
  </si>
  <si>
    <t>◄ Enter Index For August (Second Year)</t>
  </si>
  <si>
    <t>◄ Enter Index For February (Second Year)</t>
  </si>
  <si>
    <t>PC SEKHAR</t>
  </si>
  <si>
    <t>Hidden Calculation</t>
  </si>
  <si>
    <t xml:space="preserve">Categories Of Employees Based On </t>
  </si>
  <si>
    <t>Retirement Date →</t>
  </si>
  <si>
    <t>Basic Family Pension (E)</t>
  </si>
  <si>
    <t>Basic Family Pension (N)</t>
  </si>
  <si>
    <t>Normal Family Pension</t>
  </si>
  <si>
    <t>Enhanced Family Pension (Double)</t>
  </si>
  <si>
    <t>7 Years From Death</t>
  </si>
  <si>
    <t>Date Of Joining</t>
  </si>
  <si>
    <t>Mth</t>
  </si>
  <si>
    <t>Nov</t>
  </si>
  <si>
    <t>Feb</t>
  </si>
  <si>
    <t>Aug</t>
  </si>
  <si>
    <t>No.</t>
  </si>
  <si>
    <t>Before 01.11.1993</t>
  </si>
  <si>
    <t>01.11.1993 To 31.07.1997</t>
  </si>
  <si>
    <t>01.08.1997 To 31.07.2002</t>
  </si>
  <si>
    <t>01.08.2002 To 31.07.2007</t>
  </si>
  <si>
    <t>01.08.2007 To 31.07.2012</t>
  </si>
  <si>
    <t>After 01.08.2012</t>
  </si>
  <si>
    <t>600 Points (0.67%)</t>
  </si>
  <si>
    <t>1148 Points (0.35%)</t>
  </si>
  <si>
    <t>1740 Points (0.23%)</t>
  </si>
  <si>
    <t>2328 Points (0.18%)</t>
  </si>
  <si>
    <t>2944 Points (0.15%)</t>
  </si>
  <si>
    <t>4709 Points (0.10%)</t>
  </si>
  <si>
    <t xml:space="preserve">Enter E In The Cell Coloured </t>
  </si>
  <si>
    <t>Below At Appropriate Category If Enhanced Family Pension Is Operative</t>
  </si>
  <si>
    <t xml:space="preserve">   ↓</t>
  </si>
  <si>
    <t>Applicable Category</t>
  </si>
  <si>
    <t>Eligible Present Basic Family Pension</t>
  </si>
  <si>
    <t>Enhanced Basic Family Pension</t>
  </si>
  <si>
    <t>Normal Basic Family Pension</t>
  </si>
  <si>
    <t>DR Factor For Applicable Category</t>
  </si>
  <si>
    <t>Last Year Dates</t>
  </si>
  <si>
    <t>This Year Dates</t>
  </si>
  <si>
    <t>Age At Retirement</t>
  </si>
  <si>
    <t>Commutation Amount</t>
  </si>
  <si>
    <t xml:space="preserve">Retirement Pension Calculation </t>
  </si>
  <si>
    <t>FPA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</si>
  <si>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</si>
  <si>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</si>
  <si>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</si>
  <si>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</si>
  <si>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</si>
  <si>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</si>
  <si>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</si>
  <si>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</si>
  <si>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</si>
  <si>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Total</t>
  </si>
  <si>
    <t>Total LOP</t>
  </si>
  <si>
    <t>Adjustment (SOS)</t>
  </si>
  <si>
    <t>Other Allowances</t>
  </si>
  <si>
    <t>Last 10 Months</t>
  </si>
  <si>
    <t>Average</t>
  </si>
  <si>
    <t>Age Next BD</t>
  </si>
  <si>
    <t>Com Value</t>
  </si>
  <si>
    <t>LOP Total</t>
  </si>
  <si>
    <t>LOP Days</t>
  </si>
  <si>
    <t>Or Period</t>
  </si>
  <si>
    <t>Loss Of Pay (Days)</t>
  </si>
  <si>
    <t>Superannuation Date</t>
  </si>
  <si>
    <t>(1) Enter Date Of Birth Of Employee →</t>
  </si>
  <si>
    <t>(2) Enter Date Of Joining Service →</t>
  </si>
  <si>
    <t>(3) Enter Date Of Retirement Of Employee →</t>
  </si>
  <si>
    <t>(6) Enter Commutation %Age (If Not One Third)</t>
  </si>
  <si>
    <t>Basic Pension</t>
  </si>
  <si>
    <t>Computation</t>
  </si>
  <si>
    <t>One Third Pension</t>
  </si>
  <si>
    <t xml:space="preserve">50% Of Salary </t>
  </si>
  <si>
    <t xml:space="preserve">Different % Age Opted </t>
  </si>
  <si>
    <t>Commuted Pension</t>
  </si>
  <si>
    <t>Commutation</t>
  </si>
  <si>
    <t>Calculation</t>
  </si>
  <si>
    <t xml:space="preserve">Retirement Age </t>
  </si>
  <si>
    <t>Next Birthday</t>
  </si>
  <si>
    <t>Value</t>
  </si>
  <si>
    <r>
      <t xml:space="preserve">(5) Whether Commutation Opted? (Enter </t>
    </r>
    <r>
      <rPr>
        <b/>
        <sz val="12"/>
        <color rgb="FFC00000"/>
        <rFont val="Bookman Old Style"/>
        <family val="1"/>
      </rPr>
      <t>Yes</t>
    </r>
    <r>
      <rPr>
        <b/>
        <sz val="12"/>
        <color theme="1"/>
        <rFont val="Bookman Old Style"/>
        <family val="1"/>
      </rPr>
      <t xml:space="preserve"> if so)</t>
    </r>
  </si>
  <si>
    <r>
      <t xml:space="preserve">(7) Qualifying Service Manual Entry </t>
    </r>
    <r>
      <rPr>
        <b/>
        <sz val="12"/>
        <color rgb="FFC00000"/>
        <rFont val="Bookman Old Style"/>
        <family val="1"/>
      </rPr>
      <t>(Only SOS)</t>
    </r>
  </si>
  <si>
    <r>
      <t xml:space="preserve">(8) Gross Basic Pension Manual Entry </t>
    </r>
    <r>
      <rPr>
        <b/>
        <sz val="12"/>
        <color rgb="FFC00000"/>
        <rFont val="Bookman Old Style"/>
        <family val="1"/>
      </rPr>
      <t>(Only SOS)</t>
    </r>
  </si>
  <si>
    <r>
      <t xml:space="preserve">APPLICABLE CATEGORY </t>
    </r>
    <r>
      <rPr>
        <sz val="22"/>
        <color rgb="FFFFFF00"/>
        <rFont val="Bookman Old Style"/>
        <family val="1"/>
      </rPr>
      <t>→</t>
    </r>
  </si>
  <si>
    <t>ENTER HERE SVRS IF SVRS WAS OPTED →</t>
  </si>
  <si>
    <t>Category Inferred</t>
  </si>
  <si>
    <t>SVRS Cut Off Date</t>
  </si>
  <si>
    <r>
      <t xml:space="preserve">(9) Net Basic Pension Manual Entry </t>
    </r>
    <r>
      <rPr>
        <b/>
        <sz val="12"/>
        <color rgb="FFC00000"/>
        <rFont val="Bookman Old Style"/>
        <family val="1"/>
      </rPr>
      <t>(Only SOS)</t>
    </r>
  </si>
  <si>
    <t>(1) Date Of Birth Of Employee</t>
  </si>
  <si>
    <t>(3) Date Of Retirement (If Retired Employee)</t>
  </si>
  <si>
    <t>(2) Date Of Joining Service Of Employee</t>
  </si>
  <si>
    <t>Whether Family Pension Operational (Say Yes)→</t>
  </si>
  <si>
    <t>(4) Enter Date Of Death Of Employee</t>
  </si>
  <si>
    <r>
      <t>(5) Whether Covered Under WC Act (Say Yes if so)</t>
    </r>
    <r>
      <rPr>
        <sz val="12"/>
        <color theme="1"/>
        <rFont val="Bookman Old Style"/>
        <family val="1"/>
      </rPr>
      <t>→</t>
    </r>
  </si>
  <si>
    <r>
      <t xml:space="preserve">(7) Manual Entry (Enhanced) Basic Pension </t>
    </r>
    <r>
      <rPr>
        <b/>
        <sz val="12"/>
        <color rgb="FFC00000"/>
        <rFont val="Bookman Old Style"/>
        <family val="1"/>
      </rPr>
      <t>(SOS)</t>
    </r>
  </si>
  <si>
    <r>
      <t xml:space="preserve">(8) Manual Entry (Normal) Basic Pension </t>
    </r>
    <r>
      <rPr>
        <b/>
        <sz val="12"/>
        <color rgb="FFC00000"/>
        <rFont val="Bookman Old Style"/>
        <family val="1"/>
      </rPr>
      <t>(SOS Only)</t>
    </r>
  </si>
  <si>
    <t>Age At The Time Of Death</t>
  </si>
  <si>
    <t xml:space="preserve">Enhanced Pension Till </t>
  </si>
  <si>
    <t xml:space="preserve">(6) Enter Last </t>
  </si>
  <si>
    <t xml:space="preserve">     Drawn Pay →</t>
  </si>
  <si>
    <t>Total Years Of Service</t>
  </si>
  <si>
    <t xml:space="preserve">Total Continuous Service </t>
  </si>
  <si>
    <t>65 Years Completed On</t>
  </si>
  <si>
    <t xml:space="preserve">Pay Classification Given In Appendix -V </t>
  </si>
  <si>
    <t>Result</t>
  </si>
  <si>
    <t>Pay Classification Of Family Pension In Appendix-V</t>
  </si>
  <si>
    <t>Pay Scale Upto</t>
  </si>
  <si>
    <t>Pay Scale Upto And Beyond</t>
  </si>
  <si>
    <t>Enhanced Family Pension &amp; Normal Family Pension Calculations</t>
  </si>
  <si>
    <t xml:space="preserve">Enhanced Family Pension (One &amp; Half) (WC Act) </t>
  </si>
  <si>
    <t>Last Drawn</t>
  </si>
  <si>
    <t>Pay</t>
  </si>
  <si>
    <t>Enhanced Pension Payable Under GIEPS</t>
  </si>
  <si>
    <t>Criteria</t>
  </si>
  <si>
    <t>Basic Family Pension (Enhanced)</t>
  </si>
  <si>
    <t>Basic Family Pension (Normal)</t>
  </si>
  <si>
    <t>DEARNESS RELIEF AND TOTAL PENSION OR TOTAL FAMILY PENSION</t>
  </si>
  <si>
    <t>Years</t>
  </si>
  <si>
    <t>Months</t>
  </si>
  <si>
    <t>VRS Eligibility</t>
  </si>
  <si>
    <t>Pension Eligibility</t>
  </si>
  <si>
    <t>Joining Date</t>
  </si>
  <si>
    <t>Retire Date</t>
  </si>
  <si>
    <t xml:space="preserve">Years </t>
  </si>
  <si>
    <t xml:space="preserve">Completion Date </t>
  </si>
  <si>
    <t>(+) (-) Days</t>
  </si>
  <si>
    <t>(+)(-) Months</t>
  </si>
  <si>
    <t>Service (Years, Months &amp; Days) (LOP Not Taken)</t>
  </si>
  <si>
    <t>LOP (Excess Or Short Over Days Spill Over)</t>
  </si>
  <si>
    <t>Adjusted Date</t>
  </si>
  <si>
    <t>Balance Days</t>
  </si>
  <si>
    <t>Add 9½ Years</t>
  </si>
  <si>
    <t>Add 19½ Years</t>
  </si>
  <si>
    <t>Date Result</t>
  </si>
  <si>
    <t>Total Days</t>
  </si>
  <si>
    <t>Days Used</t>
  </si>
  <si>
    <t>Qualifying Service Calculation After LOP Adjustment</t>
  </si>
  <si>
    <t>Permissible Additional Years Under Para 30(5) For VRS (Least Of Three Criteria)</t>
  </si>
  <si>
    <t>Add 5 Years</t>
  </si>
  <si>
    <t>Thirty Three Years</t>
  </si>
  <si>
    <r>
      <t xml:space="preserve">(4) Enter </t>
    </r>
    <r>
      <rPr>
        <b/>
        <sz val="12"/>
        <color theme="6" tint="-0.499984740745262"/>
        <rFont val="Bookman Old Style"/>
        <family val="1"/>
      </rPr>
      <t>VRS</t>
    </r>
    <r>
      <rPr>
        <b/>
        <sz val="12"/>
        <color theme="7" tint="-0.499984740745262"/>
        <rFont val="Bookman Old Style"/>
        <family val="1"/>
      </rPr>
      <t xml:space="preserve"> </t>
    </r>
    <r>
      <rPr>
        <b/>
        <sz val="12"/>
        <color theme="1"/>
        <rFont val="Bookman Old Style"/>
        <family val="1"/>
      </rPr>
      <t>For Retirement Under Para 30 →</t>
    </r>
  </si>
  <si>
    <t>Final Qualifying Service Result For Various Options In Retirement</t>
  </si>
  <si>
    <t>Other Retirement QS</t>
  </si>
  <si>
    <t>VRS Qualifying Service</t>
  </si>
  <si>
    <t>Qualifying Service (Years)</t>
  </si>
  <si>
    <t>Service Period (Years)</t>
  </si>
  <si>
    <t>Gross Basic Pension (Rs.)</t>
  </si>
  <si>
    <t>Net Basic Pension (Rs.)</t>
  </si>
  <si>
    <t xml:space="preserve">Superannuation Date Calculation </t>
  </si>
  <si>
    <t>Gross Pension</t>
  </si>
  <si>
    <t>Net Pension</t>
  </si>
  <si>
    <t>Excess Loss Of Pay (Days)</t>
  </si>
  <si>
    <t>Loss Of Pay Leave Beyond 12 Months (Para 17 )</t>
  </si>
  <si>
    <t>Add 6½ Years</t>
  </si>
  <si>
    <t>Exit Date</t>
  </si>
  <si>
    <t>LOP Adjusted Date</t>
  </si>
  <si>
    <t xml:space="preserve">Enhanced Pension Eligibility (Minimum Service of 7 Years u/38(3)) </t>
  </si>
  <si>
    <t>Enhanced Pension Cut Off Date (65 Age or 7 Years)</t>
  </si>
  <si>
    <t>Qualifying Continuous Service Calculation After LOP Adjustment</t>
  </si>
  <si>
    <t>Service Period (Years, Months &amp; Days) (LOP Not Taken)</t>
  </si>
  <si>
    <t>Service Period (Till Retirement)</t>
  </si>
  <si>
    <t>Service Period (Lesser Of The Above Two)</t>
  </si>
  <si>
    <t>LOP (Till Retirement)</t>
  </si>
  <si>
    <t>LOP (Till Death)</t>
  </si>
  <si>
    <t>LOP (Earlier of Two Above)</t>
  </si>
  <si>
    <t>Service Period (Till Death)</t>
  </si>
  <si>
    <t xml:space="preserve">Family Pension Calculation </t>
  </si>
  <si>
    <r>
      <t xml:space="preserve">Commutation Amount </t>
    </r>
    <r>
      <rPr>
        <b/>
        <sz val="10"/>
        <color theme="1"/>
        <rFont val="Bookman Old Style"/>
        <family val="1"/>
      </rPr>
      <t>(Rs.)</t>
    </r>
  </si>
  <si>
    <t>&amp; TDS INFERENCE SHEET</t>
  </si>
  <si>
    <t>Gross Retirement Pension (DR Only)</t>
  </si>
  <si>
    <t>Net Retirement Pension (Being Paid)</t>
  </si>
  <si>
    <t>QS</t>
  </si>
  <si>
    <t>Para 14 Pension Eligibility</t>
  </si>
  <si>
    <t>YONO 3.2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</si>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</sst>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[$-409]d\-mmm\-yy;@"/>
    <numFmt numFmtId="166" formatCode="0.0000"/>
    <numFmt numFmtId="167" formatCode="[$-14009]dd/mm/yyyy;@"/>
    <numFmt numFmtId="168" formatCode="d\-mmm\-yyyy"/>
    <numFmt numFmtId="169" formatCode="0.0000000"/>
    <numFmt numFmtId="170" formatCode="0.000"/>
  </numFmts>
  <fonts count="36" x14ac:knownFonts="1"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0"/>
      <name val="Comic Sans MS"/>
      <family val="4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b/>
      <u/>
      <sz val="10"/>
      <name val="Bookman Old Style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b/>
      <u/>
      <sz val="16"/>
      <color theme="1"/>
      <name val="Bookman Old Style"/>
      <family val="1"/>
    </font>
    <font>
      <b/>
      <sz val="16"/>
      <color rgb="FFFFFF00"/>
      <name val="Bookman Old Style"/>
      <family val="1"/>
    </font>
    <font>
      <b/>
      <sz val="22"/>
      <color rgb="FFFFFF00"/>
      <name val="Bookman Old Style"/>
      <family val="1"/>
    </font>
    <font>
      <b/>
      <sz val="18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2"/>
      <color rgb="FFC00000"/>
      <name val="Bookman Old Style"/>
      <family val="1"/>
    </font>
    <font>
      <b/>
      <sz val="16"/>
      <name val="Bookman Old Style"/>
      <family val="1"/>
    </font>
    <font>
      <sz val="22"/>
      <color rgb="FFFFFF00"/>
      <name val="Bookman Old Style"/>
      <family val="1"/>
    </font>
    <font>
      <b/>
      <sz val="13"/>
      <color rgb="FFFFFF00"/>
      <name val="Bookman Old Style"/>
      <family val="1"/>
    </font>
    <font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theme="6" tint="-0.499984740745262"/>
      <name val="Bookman Old Style"/>
      <family val="1"/>
    </font>
    <font>
      <b/>
      <sz val="12"/>
      <color theme="7" tint="-0.499984740745262"/>
      <name val="Bookman Old Style"/>
      <family val="1"/>
    </font>
    <font>
      <b/>
      <sz val="12"/>
      <color rgb="FFFFFF00"/>
      <name val="Bookman Old Style"/>
      <family val="1"/>
    </font>
    <font>
      <b/>
      <sz val="18"/>
      <color theme="1"/>
      <name val="Bookman Old Style"/>
      <family val="1"/>
    </font>
    <font>
      <b/>
      <sz val="13"/>
      <color theme="1"/>
      <name val="Bookman Old Style"/>
      <family val="1"/>
    </font>
    <font>
      <b/>
      <sz val="14"/>
      <name val="Bookman Old Style"/>
      <family val="1"/>
    </font>
    <font>
      <b/>
      <u/>
      <sz val="16"/>
      <color rgb="FFFFFF00"/>
      <name val="Bookman Old Style"/>
      <family val="1"/>
    </font>
    <font>
      <sz val="13"/>
      <color theme="1"/>
      <name val="Bookman Old Style"/>
      <family val="1"/>
    </font>
    <font>
      <b/>
      <sz val="13"/>
      <name val="Bookman Old Style"/>
      <family val="1"/>
    </font>
    <font>
      <b/>
      <u/>
      <sz val="13"/>
      <color theme="1"/>
      <name val="Bookman Old Style"/>
      <family val="1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7">
    <xf numFmtId="0" fontId="0" fillId="0" borderId="0" xfId="0"/>
    <xf numFmtId="0" fontId="5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7" fillId="2" borderId="5" xfId="1" applyFont="1" applyFill="1" applyBorder="1" applyAlignment="1" applyProtection="1">
      <alignment horizontal="center"/>
      <protection hidden="1"/>
    </xf>
    <xf numFmtId="0" fontId="7" fillId="2" borderId="6" xfId="1" applyFont="1" applyFill="1" applyBorder="1" applyAlignment="1" applyProtection="1">
      <alignment horizontal="center"/>
      <protection hidden="1"/>
    </xf>
    <xf numFmtId="0" fontId="7" fillId="2" borderId="7" xfId="1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alignment horizontal="center"/>
      <protection hidden="1"/>
    </xf>
    <xf numFmtId="0" fontId="7" fillId="2" borderId="16" xfId="1" applyFont="1" applyFill="1" applyBorder="1" applyAlignment="1" applyProtection="1">
      <alignment horizontal="center"/>
      <protection hidden="1"/>
    </xf>
    <xf numFmtId="0" fontId="7" fillId="2" borderId="28" xfId="1" applyNumberFormat="1" applyFont="1" applyFill="1" applyBorder="1" applyAlignment="1" applyProtection="1">
      <alignment horizontal="center"/>
      <protection hidden="1"/>
    </xf>
    <xf numFmtId="1" fontId="8" fillId="2" borderId="8" xfId="1" applyNumberFormat="1" applyFont="1" applyFill="1" applyBorder="1" applyProtection="1">
      <protection hidden="1"/>
    </xf>
    <xf numFmtId="1" fontId="7" fillId="2" borderId="8" xfId="1" applyNumberFormat="1" applyFont="1" applyFill="1" applyBorder="1" applyProtection="1">
      <protection hidden="1"/>
    </xf>
    <xf numFmtId="1" fontId="7" fillId="2" borderId="0" xfId="1" applyNumberFormat="1" applyFont="1" applyFill="1" applyBorder="1" applyProtection="1">
      <protection hidden="1"/>
    </xf>
    <xf numFmtId="1" fontId="8" fillId="3" borderId="9" xfId="1" applyNumberFormat="1" applyFont="1" applyFill="1" applyBorder="1" applyProtection="1">
      <protection locked="0"/>
    </xf>
    <xf numFmtId="1" fontId="8" fillId="2" borderId="4" xfId="1" applyNumberFormat="1" applyFont="1" applyFill="1" applyBorder="1" applyProtection="1">
      <protection hidden="1"/>
    </xf>
    <xf numFmtId="0" fontId="8" fillId="2" borderId="18" xfId="1" applyFont="1" applyFill="1" applyBorder="1" applyProtection="1">
      <protection hidden="1"/>
    </xf>
    <xf numFmtId="0" fontId="10" fillId="3" borderId="18" xfId="1" applyFont="1" applyFill="1" applyBorder="1" applyProtection="1">
      <protection locked="0"/>
    </xf>
    <xf numFmtId="1" fontId="7" fillId="2" borderId="29" xfId="1" applyNumberFormat="1" applyFont="1" applyFill="1" applyBorder="1" applyAlignment="1" applyProtection="1">
      <alignment horizontal="center"/>
      <protection hidden="1"/>
    </xf>
    <xf numFmtId="1" fontId="7" fillId="2" borderId="30" xfId="1" applyNumberFormat="1" applyFont="1" applyFill="1" applyBorder="1" applyAlignment="1" applyProtection="1">
      <alignment horizontal="center"/>
      <protection hidden="1"/>
    </xf>
    <xf numFmtId="1" fontId="7" fillId="2" borderId="31" xfId="1" applyNumberFormat="1" applyFont="1" applyFill="1" applyBorder="1" applyProtection="1">
      <protection hidden="1"/>
    </xf>
    <xf numFmtId="1" fontId="7" fillId="2" borderId="32" xfId="1" applyNumberFormat="1" applyFont="1" applyFill="1" applyBorder="1" applyProtection="1">
      <protection hidden="1"/>
    </xf>
    <xf numFmtId="1" fontId="7" fillId="2" borderId="1" xfId="1" applyNumberFormat="1" applyFont="1" applyFill="1" applyBorder="1" applyProtection="1">
      <protection hidden="1"/>
    </xf>
    <xf numFmtId="1" fontId="7" fillId="2" borderId="16" xfId="1" applyNumberFormat="1" applyFont="1" applyFill="1" applyBorder="1" applyProtection="1">
      <protection hidden="1"/>
    </xf>
    <xf numFmtId="1" fontId="7" fillId="2" borderId="33" xfId="1" applyNumberFormat="1" applyFont="1" applyFill="1" applyBorder="1" applyProtection="1">
      <protection hidden="1"/>
    </xf>
    <xf numFmtId="1" fontId="7" fillId="2" borderId="25" xfId="1" applyNumberFormat="1" applyFont="1" applyFill="1" applyBorder="1" applyProtection="1">
      <protection hidden="1"/>
    </xf>
    <xf numFmtId="0" fontId="8" fillId="3" borderId="27" xfId="1" applyFont="1" applyFill="1" applyBorder="1" applyProtection="1">
      <protection locked="0"/>
    </xf>
    <xf numFmtId="0" fontId="8" fillId="2" borderId="4" xfId="1" applyFont="1" applyFill="1" applyBorder="1" applyProtection="1">
      <protection hidden="1"/>
    </xf>
    <xf numFmtId="1" fontId="7" fillId="2" borderId="10" xfId="1" applyNumberFormat="1" applyFont="1" applyFill="1" applyBorder="1" applyProtection="1">
      <protection hidden="1"/>
    </xf>
    <xf numFmtId="0" fontId="8" fillId="3" borderId="4" xfId="1" applyFont="1" applyFill="1" applyBorder="1" applyProtection="1">
      <protection locked="0"/>
    </xf>
    <xf numFmtId="1" fontId="7" fillId="2" borderId="5" xfId="1" applyNumberFormat="1" applyFont="1" applyFill="1" applyBorder="1" applyAlignment="1" applyProtection="1">
      <alignment horizontal="center"/>
      <protection hidden="1"/>
    </xf>
    <xf numFmtId="1" fontId="7" fillId="2" borderId="6" xfId="1" applyNumberFormat="1" applyFont="1" applyFill="1" applyBorder="1" applyAlignment="1" applyProtection="1">
      <alignment horizontal="center"/>
      <protection hidden="1"/>
    </xf>
    <xf numFmtId="1" fontId="7" fillId="2" borderId="6" xfId="1" applyNumberFormat="1" applyFont="1" applyFill="1" applyBorder="1" applyProtection="1">
      <protection hidden="1"/>
    </xf>
    <xf numFmtId="1" fontId="7" fillId="2" borderId="7" xfId="1" applyNumberFormat="1" applyFont="1" applyFill="1" applyBorder="1" applyProtection="1">
      <protection hidden="1"/>
    </xf>
    <xf numFmtId="0" fontId="7" fillId="9" borderId="18" xfId="1" applyFont="1" applyFill="1" applyBorder="1" applyProtection="1">
      <protection hidden="1"/>
    </xf>
    <xf numFmtId="0" fontId="3" fillId="2" borderId="10" xfId="0" applyFont="1" applyFill="1" applyBorder="1" applyAlignment="1" applyProtection="1">
      <alignment horizontal="right"/>
      <protection hidden="1"/>
    </xf>
    <xf numFmtId="0" fontId="3" fillId="2" borderId="10" xfId="1" applyFont="1" applyFill="1" applyBorder="1" applyAlignment="1" applyProtection="1">
      <alignment horizontal="right"/>
      <protection hidden="1"/>
    </xf>
    <xf numFmtId="0" fontId="3" fillId="2" borderId="4" xfId="1" applyFont="1" applyFill="1" applyBorder="1" applyAlignment="1" applyProtection="1">
      <alignment horizontal="right"/>
      <protection hidden="1"/>
    </xf>
    <xf numFmtId="0" fontId="6" fillId="11" borderId="17" xfId="0" applyFont="1" applyFill="1" applyBorder="1" applyAlignment="1" applyProtection="1">
      <alignment horizontal="center"/>
      <protection hidden="1"/>
    </xf>
    <xf numFmtId="14" fontId="4" fillId="11" borderId="18" xfId="0" applyNumberFormat="1" applyFont="1" applyFill="1" applyBorder="1" applyAlignment="1" applyProtection="1">
      <alignment horizontal="center"/>
      <protection hidden="1"/>
    </xf>
    <xf numFmtId="0" fontId="4" fillId="11" borderId="18" xfId="0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left"/>
      <protection hidden="1"/>
    </xf>
    <xf numFmtId="0" fontId="3" fillId="11" borderId="11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164" fontId="3" fillId="11" borderId="10" xfId="0" applyNumberFormat="1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3" fillId="11" borderId="12" xfId="0" applyFont="1" applyFill="1" applyBorder="1" applyAlignment="1" applyProtection="1">
      <alignment horizontal="center"/>
      <protection hidden="1"/>
    </xf>
    <xf numFmtId="0" fontId="3" fillId="11" borderId="13" xfId="0" applyFont="1" applyFill="1" applyBorder="1" applyAlignment="1" applyProtection="1">
      <alignment horizontal="center"/>
      <protection hidden="1"/>
    </xf>
    <xf numFmtId="164" fontId="3" fillId="11" borderId="14" xfId="0" applyNumberFormat="1" applyFont="1" applyFill="1" applyBorder="1" applyProtection="1">
      <protection hidden="1"/>
    </xf>
    <xf numFmtId="0" fontId="3" fillId="11" borderId="23" xfId="0" applyFont="1" applyFill="1" applyBorder="1" applyAlignment="1" applyProtection="1">
      <alignment horizontal="center"/>
      <protection hidden="1"/>
    </xf>
    <xf numFmtId="0" fontId="3" fillId="11" borderId="26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Protection="1">
      <protection hidden="1"/>
    </xf>
    <xf numFmtId="0" fontId="3" fillId="11" borderId="35" xfId="0" applyFont="1" applyFill="1" applyBorder="1" applyAlignment="1" applyProtection="1">
      <alignment horizontal="center"/>
      <protection hidden="1"/>
    </xf>
    <xf numFmtId="0" fontId="9" fillId="11" borderId="11" xfId="0" applyFont="1" applyFill="1" applyBorder="1" applyProtection="1">
      <protection hidden="1"/>
    </xf>
    <xf numFmtId="0" fontId="9" fillId="6" borderId="10" xfId="0" applyFont="1" applyFill="1" applyBorder="1" applyProtection="1">
      <protection hidden="1"/>
    </xf>
    <xf numFmtId="0" fontId="9" fillId="6" borderId="26" xfId="0" applyFont="1" applyFill="1" applyBorder="1" applyProtection="1">
      <protection hidden="1"/>
    </xf>
    <xf numFmtId="0" fontId="9" fillId="11" borderId="12" xfId="0" applyFont="1" applyFill="1" applyBorder="1" applyProtection="1">
      <protection hidden="1"/>
    </xf>
    <xf numFmtId="0" fontId="9" fillId="6" borderId="14" xfId="0" applyFont="1" applyFill="1" applyBorder="1" applyProtection="1">
      <protection hidden="1"/>
    </xf>
    <xf numFmtId="0" fontId="9" fillId="11" borderId="23" xfId="0" applyFont="1" applyFill="1" applyBorder="1" applyProtection="1">
      <protection hidden="1"/>
    </xf>
    <xf numFmtId="0" fontId="9" fillId="11" borderId="21" xfId="0" applyFont="1" applyFill="1" applyBorder="1" applyProtection="1">
      <protection hidden="1"/>
    </xf>
    <xf numFmtId="0" fontId="9" fillId="11" borderId="23" xfId="1" applyFont="1" applyFill="1" applyBorder="1" applyAlignment="1" applyProtection="1">
      <alignment horizontal="center"/>
      <protection hidden="1"/>
    </xf>
    <xf numFmtId="0" fontId="9" fillId="6" borderId="10" xfId="1" applyFont="1" applyFill="1" applyBorder="1" applyAlignment="1" applyProtection="1">
      <alignment horizontal="center"/>
      <protection hidden="1"/>
    </xf>
    <xf numFmtId="0" fontId="3" fillId="14" borderId="9" xfId="0" applyFont="1" applyFill="1" applyBorder="1" applyProtection="1">
      <protection hidden="1"/>
    </xf>
    <xf numFmtId="0" fontId="3" fillId="14" borderId="15" xfId="0" applyFont="1" applyFill="1" applyBorder="1" applyProtection="1">
      <protection hidden="1"/>
    </xf>
    <xf numFmtId="0" fontId="17" fillId="3" borderId="2" xfId="0" applyFont="1" applyFill="1" applyBorder="1" applyAlignment="1" applyProtection="1">
      <protection hidden="1"/>
    </xf>
    <xf numFmtId="0" fontId="18" fillId="4" borderId="0" xfId="0" applyFont="1" applyFill="1" applyProtection="1">
      <protection hidden="1"/>
    </xf>
    <xf numFmtId="1" fontId="19" fillId="3" borderId="18" xfId="0" applyNumberFormat="1" applyFont="1" applyFill="1" applyBorder="1" applyProtection="1">
      <protection locked="0"/>
    </xf>
    <xf numFmtId="1" fontId="19" fillId="3" borderId="8" xfId="1" applyNumberFormat="1" applyFont="1" applyFill="1" applyBorder="1" applyProtection="1">
      <protection locked="0"/>
    </xf>
    <xf numFmtId="1" fontId="19" fillId="3" borderId="0" xfId="0" applyNumberFormat="1" applyFont="1" applyFill="1" applyBorder="1" applyProtection="1">
      <protection locked="0"/>
    </xf>
    <xf numFmtId="1" fontId="19" fillId="3" borderId="10" xfId="0" applyNumberFormat="1" applyFont="1" applyFill="1" applyBorder="1" applyProtection="1">
      <protection locked="0"/>
    </xf>
    <xf numFmtId="1" fontId="3" fillId="16" borderId="1" xfId="0" applyNumberFormat="1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right"/>
      <protection hidden="1"/>
    </xf>
    <xf numFmtId="0" fontId="0" fillId="4" borderId="0" xfId="0" applyFill="1" applyAlignment="1" applyProtection="1">
      <alignment horizontal="right"/>
      <protection hidden="1"/>
    </xf>
    <xf numFmtId="169" fontId="1" fillId="9" borderId="5" xfId="0" applyNumberFormat="1" applyFont="1" applyFill="1" applyBorder="1" applyAlignment="1" applyProtection="1">
      <alignment horizontal="center"/>
      <protection hidden="1"/>
    </xf>
    <xf numFmtId="169" fontId="1" fillId="9" borderId="7" xfId="0" applyNumberFormat="1" applyFont="1" applyFill="1" applyBorder="1" applyAlignment="1" applyProtection="1">
      <alignment horizontal="center"/>
      <protection hidden="1"/>
    </xf>
    <xf numFmtId="1" fontId="1" fillId="9" borderId="23" xfId="0" applyNumberFormat="1" applyFont="1" applyFill="1" applyBorder="1" applyAlignment="1" applyProtection="1">
      <alignment horizontal="center"/>
      <protection hidden="1"/>
    </xf>
    <xf numFmtId="2" fontId="1" fillId="9" borderId="9" xfId="0" applyNumberFormat="1" applyFont="1" applyFill="1" applyBorder="1" applyProtection="1">
      <protection hidden="1"/>
    </xf>
    <xf numFmtId="1" fontId="1" fillId="9" borderId="21" xfId="0" applyNumberFormat="1" applyFont="1" applyFill="1" applyBorder="1" applyAlignment="1" applyProtection="1">
      <alignment horizontal="center"/>
      <protection hidden="1"/>
    </xf>
    <xf numFmtId="2" fontId="1" fillId="9" borderId="15" xfId="0" applyNumberFormat="1" applyFont="1" applyFill="1" applyBorder="1" applyProtection="1">
      <protection hidden="1"/>
    </xf>
    <xf numFmtId="49" fontId="1" fillId="9" borderId="5" xfId="0" applyNumberFormat="1" applyFont="1" applyFill="1" applyBorder="1" applyAlignment="1" applyProtection="1">
      <alignment horizontal="center"/>
      <protection hidden="1"/>
    </xf>
    <xf numFmtId="49" fontId="1" fillId="9" borderId="6" xfId="0" applyNumberFormat="1" applyFont="1" applyFill="1" applyBorder="1" applyAlignment="1" applyProtection="1">
      <alignment horizontal="center"/>
      <protection hidden="1"/>
    </xf>
    <xf numFmtId="49" fontId="19" fillId="9" borderId="23" xfId="0" applyNumberFormat="1" applyFont="1" applyFill="1" applyBorder="1" applyAlignment="1" applyProtection="1">
      <alignment horizontal="center"/>
      <protection hidden="1"/>
    </xf>
    <xf numFmtId="49" fontId="1" fillId="9" borderId="23" xfId="0" applyNumberFormat="1" applyFont="1" applyFill="1" applyBorder="1" applyAlignment="1" applyProtection="1">
      <alignment horizontal="center"/>
      <protection hidden="1"/>
    </xf>
    <xf numFmtId="49" fontId="1" fillId="9" borderId="24" xfId="0" applyNumberFormat="1" applyFont="1" applyFill="1" applyBorder="1" applyAlignment="1" applyProtection="1">
      <alignment horizontal="center"/>
      <protection hidden="1"/>
    </xf>
    <xf numFmtId="1" fontId="1" fillId="9" borderId="6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horizontal="right"/>
      <protection hidden="1"/>
    </xf>
    <xf numFmtId="0" fontId="1" fillId="9" borderId="16" xfId="0" applyFont="1" applyFill="1" applyBorder="1" applyAlignment="1" applyProtection="1">
      <alignment horizontal="center"/>
      <protection hidden="1"/>
    </xf>
    <xf numFmtId="0" fontId="19" fillId="9" borderId="2" xfId="0" applyFont="1" applyFill="1" applyBorder="1" applyProtection="1">
      <protection hidden="1"/>
    </xf>
    <xf numFmtId="0" fontId="19" fillId="9" borderId="16" xfId="0" applyFont="1" applyFill="1" applyBorder="1" applyProtection="1">
      <protection hidden="1"/>
    </xf>
    <xf numFmtId="1" fontId="1" fillId="9" borderId="1" xfId="0" applyNumberFormat="1" applyFont="1" applyFill="1" applyBorder="1" applyProtection="1">
      <protection hidden="1"/>
    </xf>
    <xf numFmtId="1" fontId="19" fillId="9" borderId="4" xfId="0" applyNumberFormat="1" applyFont="1" applyFill="1" applyBorder="1" applyProtection="1">
      <protection hidden="1"/>
    </xf>
    <xf numFmtId="2" fontId="4" fillId="17" borderId="34" xfId="0" applyNumberFormat="1" applyFont="1" applyFill="1" applyBorder="1" applyAlignment="1" applyProtection="1">
      <alignment horizontal="center"/>
      <protection hidden="1"/>
    </xf>
    <xf numFmtId="2" fontId="4" fillId="9" borderId="34" xfId="0" applyNumberFormat="1" applyFont="1" applyFill="1" applyBorder="1" applyAlignment="1" applyProtection="1">
      <protection hidden="1"/>
    </xf>
    <xf numFmtId="0" fontId="16" fillId="12" borderId="2" xfId="0" applyNumberFormat="1" applyFont="1" applyFill="1" applyBorder="1" applyAlignment="1" applyProtection="1">
      <alignment horizontal="left"/>
      <protection hidden="1"/>
    </xf>
    <xf numFmtId="1" fontId="3" fillId="16" borderId="16" xfId="0" applyNumberFormat="1" applyFont="1" applyFill="1" applyBorder="1" applyAlignment="1" applyProtection="1">
      <alignment horizontal="center"/>
      <protection hidden="1"/>
    </xf>
    <xf numFmtId="0" fontId="16" fillId="12" borderId="2" xfId="0" applyNumberFormat="1" applyFont="1" applyFill="1" applyBorder="1" applyAlignment="1" applyProtection="1">
      <protection hidden="1"/>
    </xf>
    <xf numFmtId="0" fontId="21" fillId="3" borderId="1" xfId="0" applyNumberFormat="1" applyFont="1" applyFill="1" applyBorder="1" applyAlignment="1" applyProtection="1">
      <alignment horizontal="center"/>
      <protection locked="0"/>
    </xf>
    <xf numFmtId="14" fontId="5" fillId="4" borderId="0" xfId="0" applyNumberFormat="1" applyFont="1" applyFill="1" applyProtection="1">
      <protection hidden="1"/>
    </xf>
    <xf numFmtId="1" fontId="19" fillId="9" borderId="0" xfId="0" applyNumberFormat="1" applyFont="1" applyFill="1" applyBorder="1" applyProtection="1">
      <protection hidden="1"/>
    </xf>
    <xf numFmtId="49" fontId="1" fillId="10" borderId="6" xfId="0" applyNumberFormat="1" applyFont="1" applyFill="1" applyBorder="1" applyAlignment="1" applyProtection="1">
      <alignment horizontal="center"/>
      <protection hidden="1"/>
    </xf>
    <xf numFmtId="49" fontId="3" fillId="10" borderId="19" xfId="0" applyNumberFormat="1" applyFont="1" applyFill="1" applyBorder="1" applyAlignment="1" applyProtection="1">
      <protection hidden="1"/>
    </xf>
    <xf numFmtId="49" fontId="1" fillId="10" borderId="7" xfId="0" applyNumberFormat="1" applyFont="1" applyFill="1" applyBorder="1" applyAlignment="1" applyProtection="1">
      <alignment horizontal="center"/>
      <protection hidden="1"/>
    </xf>
    <xf numFmtId="49" fontId="3" fillId="10" borderId="21" xfId="0" applyNumberFormat="1" applyFont="1" applyFill="1" applyBorder="1" applyAlignment="1" applyProtection="1">
      <protection hidden="1"/>
    </xf>
    <xf numFmtId="1" fontId="4" fillId="19" borderId="34" xfId="0" applyNumberFormat="1" applyFont="1" applyFill="1" applyBorder="1" applyAlignment="1" applyProtection="1">
      <alignment horizontal="center"/>
      <protection hidden="1"/>
    </xf>
    <xf numFmtId="0" fontId="3" fillId="2" borderId="14" xfId="0" applyFont="1" applyFill="1" applyBorder="1" applyAlignment="1" applyProtection="1">
      <alignment horizontal="right"/>
      <protection hidden="1"/>
    </xf>
    <xf numFmtId="0" fontId="3" fillId="2" borderId="14" xfId="1" applyFont="1" applyFill="1" applyBorder="1" applyAlignment="1" applyProtection="1">
      <alignment horizontal="right"/>
      <protection hidden="1"/>
    </xf>
    <xf numFmtId="0" fontId="3" fillId="2" borderId="22" xfId="1" applyFont="1" applyFill="1" applyBorder="1" applyAlignment="1" applyProtection="1">
      <alignment horizontal="right"/>
      <protection hidden="1"/>
    </xf>
    <xf numFmtId="0" fontId="6" fillId="18" borderId="17" xfId="0" applyFont="1" applyFill="1" applyBorder="1" applyAlignment="1" applyProtection="1">
      <alignment horizontal="center"/>
      <protection hidden="1"/>
    </xf>
    <xf numFmtId="14" fontId="4" fillId="18" borderId="40" xfId="0" applyNumberFormat="1" applyFont="1" applyFill="1" applyBorder="1" applyAlignment="1" applyProtection="1">
      <alignment horizontal="center"/>
      <protection hidden="1"/>
    </xf>
    <xf numFmtId="0" fontId="4" fillId="18" borderId="13" xfId="0" applyFont="1" applyFill="1" applyBorder="1" applyAlignment="1" applyProtection="1">
      <alignment horizontal="center"/>
      <protection hidden="1"/>
    </xf>
    <xf numFmtId="0" fontId="4" fillId="18" borderId="40" xfId="0" applyFont="1" applyFill="1" applyBorder="1" applyAlignment="1" applyProtection="1">
      <alignment horizontal="center"/>
      <protection hidden="1"/>
    </xf>
    <xf numFmtId="0" fontId="3" fillId="2" borderId="25" xfId="0" applyFont="1" applyFill="1" applyBorder="1" applyAlignment="1" applyProtection="1">
      <alignment horizontal="right"/>
      <protection hidden="1"/>
    </xf>
    <xf numFmtId="0" fontId="3" fillId="2" borderId="43" xfId="0" applyFont="1" applyFill="1" applyBorder="1" applyAlignment="1" applyProtection="1">
      <alignment horizontal="right"/>
      <protection hidden="1"/>
    </xf>
    <xf numFmtId="0" fontId="3" fillId="2" borderId="0" xfId="1" applyFont="1" applyFill="1" applyBorder="1" applyAlignment="1" applyProtection="1">
      <alignment horizontal="right"/>
      <protection hidden="1"/>
    </xf>
    <xf numFmtId="0" fontId="3" fillId="2" borderId="13" xfId="1" applyFont="1" applyFill="1" applyBorder="1" applyAlignment="1" applyProtection="1">
      <alignment horizontal="right"/>
      <protection hidden="1"/>
    </xf>
    <xf numFmtId="0" fontId="3" fillId="2" borderId="27" xfId="1" applyFont="1" applyFill="1" applyBorder="1" applyAlignment="1" applyProtection="1">
      <alignment horizontal="right"/>
      <protection hidden="1"/>
    </xf>
    <xf numFmtId="0" fontId="3" fillId="2" borderId="9" xfId="1" applyFont="1" applyFill="1" applyBorder="1" applyAlignment="1" applyProtection="1">
      <alignment horizontal="right"/>
      <protection hidden="1"/>
    </xf>
    <xf numFmtId="0" fontId="3" fillId="2" borderId="15" xfId="1" applyFont="1" applyFill="1" applyBorder="1" applyAlignment="1" applyProtection="1">
      <alignment horizontal="right"/>
      <protection hidden="1"/>
    </xf>
    <xf numFmtId="1" fontId="3" fillId="3" borderId="39" xfId="1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hidden="1"/>
    </xf>
    <xf numFmtId="167" fontId="4" fillId="9" borderId="34" xfId="0" applyNumberFormat="1" applyFont="1" applyFill="1" applyBorder="1" applyAlignment="1" applyProtection="1">
      <alignment horizontal="center"/>
      <protection hidden="1"/>
    </xf>
    <xf numFmtId="170" fontId="4" fillId="9" borderId="34" xfId="0" applyNumberFormat="1" applyFont="1" applyFill="1" applyBorder="1" applyAlignment="1" applyProtection="1">
      <alignment horizontal="center"/>
      <protection hidden="1"/>
    </xf>
    <xf numFmtId="167" fontId="4" fillId="8" borderId="34" xfId="0" applyNumberFormat="1" applyFont="1" applyFill="1" applyBorder="1" applyAlignment="1" applyProtection="1">
      <alignment horizontal="center"/>
      <protection hidden="1"/>
    </xf>
    <xf numFmtId="1" fontId="12" fillId="19" borderId="34" xfId="0" applyNumberFormat="1" applyFont="1" applyFill="1" applyBorder="1" applyAlignment="1" applyProtection="1">
      <alignment horizontal="center"/>
      <protection hidden="1"/>
    </xf>
    <xf numFmtId="1" fontId="25" fillId="19" borderId="34" xfId="0" applyNumberFormat="1" applyFont="1" applyFill="1" applyBorder="1" applyAlignment="1" applyProtection="1">
      <alignment horizontal="center"/>
      <protection hidden="1"/>
    </xf>
    <xf numFmtId="1" fontId="4" fillId="8" borderId="34" xfId="0" applyNumberFormat="1" applyFont="1" applyFill="1" applyBorder="1" applyAlignment="1" applyProtection="1">
      <alignment horizontal="center"/>
      <protection hidden="1"/>
    </xf>
    <xf numFmtId="1" fontId="4" fillId="20" borderId="34" xfId="0" applyNumberFormat="1" applyFont="1" applyFill="1" applyBorder="1" applyAlignment="1" applyProtection="1">
      <alignment horizontal="center"/>
      <protection hidden="1"/>
    </xf>
    <xf numFmtId="0" fontId="4" fillId="17" borderId="34" xfId="0" applyFont="1" applyFill="1" applyBorder="1" applyAlignment="1" applyProtection="1">
      <alignment horizontal="center"/>
      <protection hidden="1"/>
    </xf>
    <xf numFmtId="1" fontId="4" fillId="17" borderId="34" xfId="0" applyNumberFormat="1" applyFont="1" applyFill="1" applyBorder="1" applyAlignment="1" applyProtection="1">
      <alignment horizontal="center"/>
      <protection hidden="1"/>
    </xf>
    <xf numFmtId="0" fontId="4" fillId="10" borderId="24" xfId="0" applyFont="1" applyFill="1" applyBorder="1" applyAlignment="1" applyProtection="1">
      <alignment horizontal="left"/>
      <protection hidden="1"/>
    </xf>
    <xf numFmtId="0" fontId="4" fillId="10" borderId="2" xfId="0" applyFont="1" applyFill="1" applyBorder="1" applyAlignment="1" applyProtection="1">
      <alignment horizontal="left"/>
      <protection hidden="1"/>
    </xf>
    <xf numFmtId="1" fontId="4" fillId="9" borderId="34" xfId="0" applyNumberFormat="1" applyFont="1" applyFill="1" applyBorder="1" applyAlignment="1" applyProtection="1">
      <alignment horizontal="center"/>
      <protection hidden="1"/>
    </xf>
    <xf numFmtId="0" fontId="6" fillId="18" borderId="20" xfId="0" applyFont="1" applyFill="1" applyBorder="1" applyAlignment="1" applyProtection="1">
      <alignment horizontal="center"/>
      <protection hidden="1"/>
    </xf>
    <xf numFmtId="170" fontId="4" fillId="8" borderId="34" xfId="0" applyNumberFormat="1" applyFont="1" applyFill="1" applyBorder="1" applyAlignment="1" applyProtection="1">
      <alignment horizontal="center"/>
      <protection hidden="1"/>
    </xf>
    <xf numFmtId="1" fontId="4" fillId="18" borderId="34" xfId="0" applyNumberFormat="1" applyFont="1" applyFill="1" applyBorder="1" applyAlignment="1" applyProtection="1">
      <alignment horizontal="center"/>
      <protection hidden="1"/>
    </xf>
    <xf numFmtId="1" fontId="12" fillId="18" borderId="34" xfId="0" applyNumberFormat="1" applyFont="1" applyFill="1" applyBorder="1" applyAlignment="1" applyProtection="1">
      <alignment horizontal="center"/>
      <protection hidden="1"/>
    </xf>
    <xf numFmtId="14" fontId="25" fillId="11" borderId="18" xfId="0" applyNumberFormat="1" applyFont="1" applyFill="1" applyBorder="1" applyAlignment="1" applyProtection="1">
      <alignment horizontal="center"/>
      <protection hidden="1"/>
    </xf>
    <xf numFmtId="0" fontId="25" fillId="11" borderId="18" xfId="0" applyFont="1" applyFill="1" applyBorder="1" applyAlignment="1" applyProtection="1">
      <alignment horizontal="center"/>
      <protection hidden="1"/>
    </xf>
    <xf numFmtId="0" fontId="1" fillId="13" borderId="12" xfId="1" applyFont="1" applyFill="1" applyBorder="1" applyAlignment="1" applyProtection="1">
      <alignment horizontal="center"/>
      <protection hidden="1"/>
    </xf>
    <xf numFmtId="0" fontId="1" fillId="13" borderId="14" xfId="1" applyFont="1" applyFill="1" applyBorder="1" applyAlignment="1" applyProtection="1">
      <alignment horizontal="center"/>
      <protection hidden="1"/>
    </xf>
    <xf numFmtId="0" fontId="1" fillId="13" borderId="56" xfId="1" applyFont="1" applyFill="1" applyBorder="1" applyAlignment="1" applyProtection="1">
      <alignment horizontal="center"/>
      <protection hidden="1"/>
    </xf>
    <xf numFmtId="0" fontId="3" fillId="13" borderId="12" xfId="1" applyFont="1" applyFill="1" applyBorder="1" applyAlignment="1" applyProtection="1">
      <alignment horizontal="center"/>
      <protection hidden="1"/>
    </xf>
    <xf numFmtId="0" fontId="3" fillId="13" borderId="41" xfId="1" applyFont="1" applyFill="1" applyBorder="1" applyAlignment="1" applyProtection="1">
      <alignment horizontal="center"/>
      <protection hidden="1"/>
    </xf>
    <xf numFmtId="0" fontId="3" fillId="13" borderId="22" xfId="1" applyFont="1" applyFill="1" applyBorder="1" applyAlignment="1" applyProtection="1">
      <alignment horizontal="center"/>
      <protection hidden="1"/>
    </xf>
    <xf numFmtId="0" fontId="3" fillId="13" borderId="21" xfId="1" applyFont="1" applyFill="1" applyBorder="1" applyAlignment="1" applyProtection="1">
      <alignment horizontal="center"/>
      <protection hidden="1"/>
    </xf>
    <xf numFmtId="0" fontId="3" fillId="13" borderId="14" xfId="1" applyFont="1" applyFill="1" applyBorder="1" applyAlignment="1" applyProtection="1">
      <alignment horizontal="center"/>
      <protection hidden="1"/>
    </xf>
    <xf numFmtId="1" fontId="31" fillId="9" borderId="19" xfId="0" applyNumberFormat="1" applyFont="1" applyFill="1" applyBorder="1" applyAlignment="1" applyProtection="1">
      <protection hidden="1"/>
    </xf>
    <xf numFmtId="1" fontId="31" fillId="9" borderId="21" xfId="0" applyNumberFormat="1" applyFont="1" applyFill="1" applyBorder="1" applyAlignment="1" applyProtection="1">
      <protection hidden="1"/>
    </xf>
    <xf numFmtId="0" fontId="15" fillId="4" borderId="0" xfId="0" applyFont="1" applyFill="1" applyBorder="1" applyAlignment="1" applyProtection="1">
      <protection hidden="1"/>
    </xf>
    <xf numFmtId="0" fontId="0" fillId="4" borderId="0" xfId="0" applyFill="1" applyBorder="1" applyProtection="1">
      <protection hidden="1"/>
    </xf>
    <xf numFmtId="167" fontId="15" fillId="12" borderId="13" xfId="0" applyNumberFormat="1" applyFont="1" applyFill="1" applyBorder="1" applyAlignment="1" applyProtection="1">
      <alignment horizontal="center"/>
      <protection hidden="1"/>
    </xf>
    <xf numFmtId="167" fontId="15" fillId="12" borderId="13" xfId="0" applyNumberFormat="1" applyFont="1" applyFill="1" applyBorder="1" applyAlignment="1" applyProtection="1">
      <protection hidden="1"/>
    </xf>
    <xf numFmtId="167" fontId="15" fillId="12" borderId="22" xfId="0" applyNumberFormat="1" applyFont="1" applyFill="1" applyBorder="1" applyAlignment="1" applyProtection="1">
      <protection hidden="1"/>
    </xf>
    <xf numFmtId="0" fontId="33" fillId="4" borderId="0" xfId="0" applyFont="1" applyFill="1" applyProtection="1">
      <protection hidden="1"/>
    </xf>
    <xf numFmtId="1" fontId="34" fillId="8" borderId="16" xfId="1" applyNumberFormat="1" applyFont="1" applyFill="1" applyBorder="1" applyProtection="1">
      <protection hidden="1"/>
    </xf>
    <xf numFmtId="166" fontId="34" fillId="8" borderId="16" xfId="1" applyNumberFormat="1" applyFont="1" applyFill="1" applyBorder="1" applyProtection="1">
      <protection hidden="1"/>
    </xf>
    <xf numFmtId="0" fontId="33" fillId="4" borderId="0" xfId="0" applyFont="1" applyFill="1" applyAlignment="1" applyProtection="1">
      <alignment horizontal="left"/>
      <protection hidden="1"/>
    </xf>
    <xf numFmtId="166" fontId="1" fillId="8" borderId="16" xfId="1" applyNumberFormat="1" applyFont="1" applyFill="1" applyBorder="1" applyProtection="1">
      <protection hidden="1"/>
    </xf>
    <xf numFmtId="167" fontId="25" fillId="9" borderId="34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locked="0"/>
    </xf>
    <xf numFmtId="0" fontId="3" fillId="3" borderId="26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167" fontId="19" fillId="3" borderId="0" xfId="0" applyNumberFormat="1" applyFont="1" applyFill="1" applyBorder="1" applyProtection="1">
      <protection locked="0"/>
    </xf>
    <xf numFmtId="167" fontId="19" fillId="3" borderId="18" xfId="0" applyNumberFormat="1" applyFont="1" applyFill="1" applyBorder="1" applyProtection="1">
      <protection locked="0"/>
    </xf>
    <xf numFmtId="165" fontId="7" fillId="3" borderId="28" xfId="1" applyNumberFormat="1" applyFont="1" applyFill="1" applyBorder="1" applyAlignment="1" applyProtection="1">
      <alignment horizontal="center"/>
      <protection locked="0"/>
    </xf>
    <xf numFmtId="165" fontId="7" fillId="7" borderId="28" xfId="1" applyNumberFormat="1" applyFont="1" applyFill="1" applyBorder="1" applyAlignment="1" applyProtection="1">
      <alignment horizontal="center"/>
      <protection locked="0"/>
    </xf>
    <xf numFmtId="1" fontId="4" fillId="9" borderId="36" xfId="0" applyNumberFormat="1" applyFont="1" applyFill="1" applyBorder="1" applyAlignment="1" applyProtection="1">
      <alignment horizontal="center"/>
      <protection hidden="1"/>
    </xf>
    <xf numFmtId="1" fontId="4" fillId="9" borderId="37" xfId="0" applyNumberFormat="1" applyFont="1" applyFill="1" applyBorder="1" applyAlignment="1" applyProtection="1">
      <alignment horizontal="center"/>
      <protection hidden="1"/>
    </xf>
    <xf numFmtId="0" fontId="4" fillId="17" borderId="26" xfId="0" applyFont="1" applyFill="1" applyBorder="1" applyAlignment="1" applyProtection="1">
      <alignment horizontal="center"/>
      <protection hidden="1"/>
    </xf>
    <xf numFmtId="0" fontId="4" fillId="17" borderId="0" xfId="0" applyFont="1" applyFill="1" applyAlignment="1" applyProtection="1">
      <alignment horizontal="center"/>
      <protection hidden="1"/>
    </xf>
    <xf numFmtId="1" fontId="4" fillId="8" borderId="36" xfId="0" applyNumberFormat="1" applyFont="1" applyFill="1" applyBorder="1" applyAlignment="1" applyProtection="1">
      <alignment horizontal="center"/>
      <protection hidden="1"/>
    </xf>
    <xf numFmtId="0" fontId="4" fillId="8" borderId="37" xfId="0" applyFont="1" applyFill="1" applyBorder="1" applyAlignment="1" applyProtection="1">
      <alignment horizontal="center"/>
      <protection hidden="1"/>
    </xf>
    <xf numFmtId="1" fontId="4" fillId="17" borderId="34" xfId="0" applyNumberFormat="1" applyFont="1" applyFill="1" applyBorder="1" applyAlignment="1" applyProtection="1">
      <alignment horizontal="center"/>
      <protection hidden="1"/>
    </xf>
    <xf numFmtId="1" fontId="4" fillId="9" borderId="36" xfId="0" applyNumberFormat="1" applyFont="1" applyFill="1" applyBorder="1" applyAlignment="1" applyProtection="1">
      <alignment horizontal="right"/>
      <protection hidden="1"/>
    </xf>
    <xf numFmtId="1" fontId="4" fillId="9" borderId="37" xfId="0" applyNumberFormat="1" applyFont="1" applyFill="1" applyBorder="1" applyAlignment="1" applyProtection="1">
      <alignment horizontal="right"/>
      <protection hidden="1"/>
    </xf>
    <xf numFmtId="1" fontId="4" fillId="8" borderId="36" xfId="0" applyNumberFormat="1" applyFont="1" applyFill="1" applyBorder="1" applyAlignment="1" applyProtection="1">
      <alignment horizontal="right"/>
      <protection hidden="1"/>
    </xf>
    <xf numFmtId="1" fontId="4" fillId="8" borderId="37" xfId="0" applyNumberFormat="1" applyFont="1" applyFill="1" applyBorder="1" applyAlignment="1" applyProtection="1">
      <alignment horizontal="right"/>
      <protection hidden="1"/>
    </xf>
    <xf numFmtId="1" fontId="4" fillId="17" borderId="36" xfId="0" applyNumberFormat="1" applyFont="1" applyFill="1" applyBorder="1" applyAlignment="1" applyProtection="1">
      <alignment horizontal="center"/>
      <protection hidden="1"/>
    </xf>
    <xf numFmtId="1" fontId="4" fillId="17" borderId="37" xfId="0" applyNumberFormat="1" applyFont="1" applyFill="1" applyBorder="1" applyAlignment="1" applyProtection="1">
      <alignment horizontal="center"/>
      <protection hidden="1"/>
    </xf>
    <xf numFmtId="0" fontId="4" fillId="9" borderId="24" xfId="0" applyFont="1" applyFill="1" applyBorder="1" applyAlignment="1" applyProtection="1">
      <alignment horizontal="left"/>
      <protection hidden="1"/>
    </xf>
    <xf numFmtId="0" fontId="4" fillId="9" borderId="2" xfId="0" applyFont="1" applyFill="1" applyBorder="1" applyAlignment="1" applyProtection="1">
      <alignment horizontal="left"/>
      <protection hidden="1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17" borderId="34" xfId="0" applyFont="1" applyFill="1" applyBorder="1" applyAlignment="1" applyProtection="1">
      <alignment horizontal="center"/>
      <protection hidden="1"/>
    </xf>
    <xf numFmtId="2" fontId="4" fillId="9" borderId="34" xfId="0" applyNumberFormat="1" applyFont="1" applyFill="1" applyBorder="1" applyAlignment="1" applyProtection="1">
      <alignment horizontal="right"/>
      <protection hidden="1"/>
    </xf>
    <xf numFmtId="1" fontId="4" fillId="8" borderId="37" xfId="0" applyNumberFormat="1" applyFont="1" applyFill="1" applyBorder="1" applyAlignment="1" applyProtection="1">
      <alignment horizontal="center"/>
      <protection hidden="1"/>
    </xf>
    <xf numFmtId="1" fontId="4" fillId="19" borderId="36" xfId="0" applyNumberFormat="1" applyFont="1" applyFill="1" applyBorder="1" applyAlignment="1" applyProtection="1">
      <alignment horizontal="center"/>
      <protection hidden="1"/>
    </xf>
    <xf numFmtId="1" fontId="4" fillId="19" borderId="37" xfId="0" applyNumberFormat="1" applyFont="1" applyFill="1" applyBorder="1" applyAlignment="1" applyProtection="1">
      <alignment horizontal="center"/>
      <protection hidden="1"/>
    </xf>
    <xf numFmtId="1" fontId="4" fillId="20" borderId="36" xfId="0" applyNumberFormat="1" applyFont="1" applyFill="1" applyBorder="1" applyAlignment="1" applyProtection="1">
      <alignment horizontal="center"/>
      <protection hidden="1"/>
    </xf>
    <xf numFmtId="1" fontId="4" fillId="20" borderId="37" xfId="0" applyNumberFormat="1" applyFont="1" applyFill="1" applyBorder="1" applyAlignment="1" applyProtection="1">
      <alignment horizontal="center"/>
      <protection hidden="1"/>
    </xf>
    <xf numFmtId="167" fontId="4" fillId="20" borderId="36" xfId="0" applyNumberFormat="1" applyFont="1" applyFill="1" applyBorder="1" applyAlignment="1" applyProtection="1">
      <alignment horizontal="center"/>
      <protection hidden="1"/>
    </xf>
    <xf numFmtId="167" fontId="4" fillId="20" borderId="37" xfId="0" applyNumberFormat="1" applyFont="1" applyFill="1" applyBorder="1" applyAlignment="1" applyProtection="1">
      <alignment horizontal="center"/>
      <protection hidden="1"/>
    </xf>
    <xf numFmtId="167" fontId="4" fillId="14" borderId="36" xfId="0" applyNumberFormat="1" applyFont="1" applyFill="1" applyBorder="1" applyAlignment="1" applyProtection="1">
      <alignment horizontal="right"/>
      <protection hidden="1"/>
    </xf>
    <xf numFmtId="167" fontId="4" fillId="14" borderId="37" xfId="0" applyNumberFormat="1" applyFont="1" applyFill="1" applyBorder="1" applyAlignment="1" applyProtection="1">
      <alignment horizontal="right"/>
      <protection hidden="1"/>
    </xf>
    <xf numFmtId="167" fontId="4" fillId="14" borderId="36" xfId="0" applyNumberFormat="1" applyFont="1" applyFill="1" applyBorder="1" applyAlignment="1" applyProtection="1">
      <alignment horizontal="center"/>
      <protection hidden="1"/>
    </xf>
    <xf numFmtId="167" fontId="4" fillId="14" borderId="37" xfId="0" applyNumberFormat="1" applyFont="1" applyFill="1" applyBorder="1" applyAlignment="1" applyProtection="1">
      <alignment horizontal="center"/>
      <protection hidden="1"/>
    </xf>
    <xf numFmtId="1" fontId="4" fillId="3" borderId="23" xfId="0" applyNumberFormat="1" applyFont="1" applyFill="1" applyBorder="1" applyAlignment="1" applyProtection="1">
      <alignment horizontal="center"/>
      <protection hidden="1"/>
    </xf>
    <xf numFmtId="1" fontId="4" fillId="3" borderId="0" xfId="0" applyNumberFormat="1" applyFont="1" applyFill="1" applyBorder="1" applyAlignment="1" applyProtection="1">
      <alignment horizontal="center"/>
      <protection hidden="1"/>
    </xf>
    <xf numFmtId="0" fontId="13" fillId="11" borderId="24" xfId="0" applyFont="1" applyFill="1" applyBorder="1" applyAlignment="1" applyProtection="1">
      <alignment horizontal="center"/>
      <protection hidden="1"/>
    </xf>
    <xf numFmtId="0" fontId="13" fillId="11" borderId="2" xfId="0" applyFont="1" applyFill="1" applyBorder="1" applyAlignment="1" applyProtection="1">
      <alignment horizontal="center"/>
      <protection hidden="1"/>
    </xf>
    <xf numFmtId="0" fontId="13" fillId="11" borderId="1" xfId="0" applyFont="1" applyFill="1" applyBorder="1" applyAlignment="1" applyProtection="1">
      <alignment horizontal="center"/>
      <protection hidden="1"/>
    </xf>
    <xf numFmtId="0" fontId="12" fillId="8" borderId="24" xfId="0" applyFont="1" applyFill="1" applyBorder="1" applyAlignment="1" applyProtection="1">
      <alignment horizontal="center"/>
      <protection hidden="1"/>
    </xf>
    <xf numFmtId="0" fontId="12" fillId="8" borderId="1" xfId="0" applyFont="1" applyFill="1" applyBorder="1" applyAlignment="1" applyProtection="1">
      <alignment horizontal="center"/>
      <protection hidden="1"/>
    </xf>
    <xf numFmtId="0" fontId="4" fillId="11" borderId="19" xfId="0" applyFont="1" applyFill="1" applyBorder="1" applyAlignment="1" applyProtection="1">
      <alignment horizontal="center"/>
      <protection hidden="1"/>
    </xf>
    <xf numFmtId="0" fontId="4" fillId="11" borderId="20" xfId="0" applyFont="1" applyFill="1" applyBorder="1" applyAlignment="1" applyProtection="1">
      <alignment horizontal="center"/>
      <protection hidden="1"/>
    </xf>
    <xf numFmtId="0" fontId="4" fillId="11" borderId="3" xfId="0" applyFont="1" applyFill="1" applyBorder="1" applyAlignment="1" applyProtection="1">
      <alignment horizontal="center"/>
      <protection hidden="1"/>
    </xf>
    <xf numFmtId="167" fontId="4" fillId="11" borderId="23" xfId="0" applyNumberFormat="1" applyFont="1" applyFill="1" applyBorder="1" applyAlignment="1" applyProtection="1">
      <alignment horizontal="center"/>
      <protection hidden="1"/>
    </xf>
    <xf numFmtId="167" fontId="4" fillId="11" borderId="0" xfId="0" applyNumberFormat="1" applyFont="1" applyFill="1" applyBorder="1" applyAlignment="1" applyProtection="1">
      <alignment horizontal="center"/>
      <protection hidden="1"/>
    </xf>
    <xf numFmtId="167" fontId="4" fillId="11" borderId="4" xfId="0" applyNumberFormat="1" applyFont="1" applyFill="1" applyBorder="1" applyAlignment="1" applyProtection="1">
      <alignment horizontal="center"/>
      <protection hidden="1"/>
    </xf>
    <xf numFmtId="1" fontId="4" fillId="2" borderId="2" xfId="0" applyNumberFormat="1" applyFont="1" applyFill="1" applyBorder="1" applyAlignment="1" applyProtection="1">
      <alignment horizontal="center"/>
      <protection hidden="1"/>
    </xf>
    <xf numFmtId="1" fontId="4" fillId="2" borderId="1" xfId="0" applyNumberFormat="1" applyFont="1" applyFill="1" applyBorder="1" applyAlignment="1" applyProtection="1">
      <alignment horizontal="center"/>
      <protection hidden="1"/>
    </xf>
    <xf numFmtId="167" fontId="4" fillId="3" borderId="2" xfId="0" applyNumberFormat="1" applyFont="1" applyFill="1" applyBorder="1" applyAlignment="1" applyProtection="1">
      <alignment horizontal="center"/>
      <protection locked="0"/>
    </xf>
    <xf numFmtId="167" fontId="4" fillId="3" borderId="1" xfId="0" applyNumberFormat="1" applyFont="1" applyFill="1" applyBorder="1" applyAlignment="1" applyProtection="1">
      <alignment horizontal="center"/>
      <protection locked="0"/>
    </xf>
    <xf numFmtId="167" fontId="4" fillId="2" borderId="2" xfId="0" applyNumberFormat="1" applyFont="1" applyFill="1" applyBorder="1" applyAlignment="1" applyProtection="1">
      <alignment horizontal="center"/>
      <protection hidden="1"/>
    </xf>
    <xf numFmtId="167" fontId="4" fillId="2" borderId="1" xfId="0" applyNumberFormat="1" applyFont="1" applyFill="1" applyBorder="1" applyAlignment="1" applyProtection="1">
      <alignment horizontal="center"/>
      <protection hidden="1"/>
    </xf>
    <xf numFmtId="0" fontId="28" fillId="12" borderId="2" xfId="0" applyNumberFormat="1" applyFont="1" applyFill="1" applyBorder="1" applyAlignment="1" applyProtection="1">
      <alignment horizontal="right"/>
      <protection hidden="1"/>
    </xf>
    <xf numFmtId="1" fontId="4" fillId="2" borderId="0" xfId="0" applyNumberFormat="1" applyFont="1" applyFill="1" applyAlignment="1" applyProtection="1">
      <alignment horizontal="center"/>
      <protection hidden="1"/>
    </xf>
    <xf numFmtId="167" fontId="16" fillId="12" borderId="24" xfId="0" applyNumberFormat="1" applyFont="1" applyFill="1" applyBorder="1" applyAlignment="1" applyProtection="1">
      <alignment horizontal="right"/>
      <protection hidden="1"/>
    </xf>
    <xf numFmtId="167" fontId="16" fillId="12" borderId="2" xfId="0" applyNumberFormat="1" applyFont="1" applyFill="1" applyBorder="1" applyAlignment="1" applyProtection="1">
      <alignment horizontal="right"/>
      <protection hidden="1"/>
    </xf>
    <xf numFmtId="168" fontId="3" fillId="16" borderId="24" xfId="0" applyNumberFormat="1" applyFont="1" applyFill="1" applyBorder="1" applyAlignment="1" applyProtection="1">
      <alignment horizontal="center"/>
      <protection hidden="1"/>
    </xf>
    <xf numFmtId="168" fontId="3" fillId="16" borderId="1" xfId="0" applyNumberFormat="1" applyFont="1" applyFill="1" applyBorder="1" applyAlignment="1" applyProtection="1">
      <alignment horizontal="center"/>
      <protection hidden="1"/>
    </xf>
    <xf numFmtId="49" fontId="4" fillId="3" borderId="2" xfId="0" applyNumberFormat="1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10" fontId="4" fillId="3" borderId="2" xfId="0" applyNumberFormat="1" applyFont="1" applyFill="1" applyBorder="1" applyAlignment="1" applyProtection="1">
      <alignment horizontal="center"/>
      <protection locked="0"/>
    </xf>
    <xf numFmtId="10" fontId="4" fillId="3" borderId="1" xfId="0" applyNumberFormat="1" applyFont="1" applyFill="1" applyBorder="1" applyAlignment="1" applyProtection="1">
      <alignment horizontal="center"/>
      <protection locked="0"/>
    </xf>
    <xf numFmtId="167" fontId="4" fillId="9" borderId="36" xfId="0" applyNumberFormat="1" applyFont="1" applyFill="1" applyBorder="1" applyAlignment="1" applyProtection="1">
      <alignment horizontal="center"/>
      <protection hidden="1"/>
    </xf>
    <xf numFmtId="167" fontId="4" fillId="9" borderId="37" xfId="0" applyNumberFormat="1" applyFont="1" applyFill="1" applyBorder="1" applyAlignment="1" applyProtection="1">
      <alignment horizontal="center"/>
      <protection hidden="1"/>
    </xf>
    <xf numFmtId="1" fontId="4" fillId="18" borderId="36" xfId="0" applyNumberFormat="1" applyFont="1" applyFill="1" applyBorder="1" applyAlignment="1" applyProtection="1">
      <alignment horizontal="center"/>
      <protection hidden="1"/>
    </xf>
    <xf numFmtId="1" fontId="4" fillId="18" borderId="37" xfId="0" applyNumberFormat="1" applyFont="1" applyFill="1" applyBorder="1" applyAlignment="1" applyProtection="1">
      <alignment horizontal="center"/>
      <protection hidden="1"/>
    </xf>
    <xf numFmtId="0" fontId="4" fillId="9" borderId="24" xfId="0" applyFont="1" applyFill="1" applyBorder="1" applyAlignment="1" applyProtection="1">
      <alignment horizontal="center"/>
      <protection hidden="1"/>
    </xf>
    <xf numFmtId="0" fontId="4" fillId="9" borderId="2" xfId="0" applyFont="1" applyFill="1" applyBorder="1" applyAlignment="1" applyProtection="1">
      <alignment horizontal="center"/>
      <protection hidden="1"/>
    </xf>
    <xf numFmtId="0" fontId="4" fillId="9" borderId="1" xfId="0" applyFont="1" applyFill="1" applyBorder="1" applyAlignment="1" applyProtection="1">
      <alignment horizontal="center"/>
      <protection hidden="1"/>
    </xf>
    <xf numFmtId="0" fontId="3" fillId="9" borderId="24" xfId="0" applyFont="1" applyFill="1" applyBorder="1" applyAlignment="1" applyProtection="1">
      <alignment horizontal="center"/>
      <protection hidden="1"/>
    </xf>
    <xf numFmtId="0" fontId="3" fillId="9" borderId="2" xfId="0" applyFont="1" applyFill="1" applyBorder="1" applyAlignment="1" applyProtection="1">
      <alignment horizontal="center"/>
      <protection hidden="1"/>
    </xf>
    <xf numFmtId="0" fontId="3" fillId="9" borderId="1" xfId="0" applyFont="1" applyFill="1" applyBorder="1" applyAlignment="1" applyProtection="1">
      <alignment horizontal="center"/>
      <protection hidden="1"/>
    </xf>
    <xf numFmtId="167" fontId="4" fillId="8" borderId="44" xfId="0" applyNumberFormat="1" applyFont="1" applyFill="1" applyBorder="1" applyAlignment="1" applyProtection="1">
      <alignment horizontal="center"/>
      <protection hidden="1"/>
    </xf>
    <xf numFmtId="167" fontId="4" fillId="8" borderId="45" xfId="0" applyNumberFormat="1" applyFont="1" applyFill="1" applyBorder="1" applyAlignment="1" applyProtection="1">
      <alignment horizontal="center"/>
      <protection hidden="1"/>
    </xf>
    <xf numFmtId="167" fontId="4" fillId="8" borderId="46" xfId="0" applyNumberFormat="1" applyFont="1" applyFill="1" applyBorder="1" applyAlignment="1" applyProtection="1">
      <alignment horizontal="center"/>
      <protection hidden="1"/>
    </xf>
    <xf numFmtId="1" fontId="4" fillId="3" borderId="4" xfId="0" applyNumberFormat="1" applyFont="1" applyFill="1" applyBorder="1" applyAlignment="1" applyProtection="1">
      <alignment horizontal="center"/>
      <protection hidden="1"/>
    </xf>
    <xf numFmtId="167" fontId="4" fillId="18" borderId="36" xfId="0" applyNumberFormat="1" applyFont="1" applyFill="1" applyBorder="1" applyAlignment="1" applyProtection="1">
      <alignment horizontal="center"/>
      <protection hidden="1"/>
    </xf>
    <xf numFmtId="167" fontId="4" fillId="18" borderId="37" xfId="0" applyNumberFormat="1" applyFont="1" applyFill="1" applyBorder="1" applyAlignment="1" applyProtection="1">
      <alignment horizontal="center"/>
      <protection hidden="1"/>
    </xf>
    <xf numFmtId="167" fontId="4" fillId="8" borderId="36" xfId="0" applyNumberFormat="1" applyFont="1" applyFill="1" applyBorder="1" applyAlignment="1" applyProtection="1">
      <alignment horizontal="center"/>
      <protection hidden="1"/>
    </xf>
    <xf numFmtId="167" fontId="4" fillId="8" borderId="37" xfId="0" applyNumberFormat="1" applyFont="1" applyFill="1" applyBorder="1" applyAlignment="1" applyProtection="1">
      <alignment horizontal="center"/>
      <protection hidden="1"/>
    </xf>
    <xf numFmtId="1" fontId="4" fillId="19" borderId="57" xfId="0" applyNumberFormat="1" applyFont="1" applyFill="1" applyBorder="1" applyAlignment="1" applyProtection="1">
      <alignment horizontal="center"/>
      <protection hidden="1"/>
    </xf>
    <xf numFmtId="1" fontId="4" fillId="19" borderId="58" xfId="0" applyNumberFormat="1" applyFont="1" applyFill="1" applyBorder="1" applyAlignment="1" applyProtection="1">
      <alignment horizontal="center"/>
      <protection hidden="1"/>
    </xf>
    <xf numFmtId="0" fontId="4" fillId="10" borderId="24" xfId="0" applyFont="1" applyFill="1" applyBorder="1" applyAlignment="1" applyProtection="1">
      <alignment horizontal="center"/>
      <protection hidden="1"/>
    </xf>
    <xf numFmtId="0" fontId="4" fillId="10" borderId="2" xfId="0" applyFont="1" applyFill="1" applyBorder="1" applyAlignment="1" applyProtection="1">
      <alignment horizontal="center"/>
      <protection hidden="1"/>
    </xf>
    <xf numFmtId="0" fontId="4" fillId="10" borderId="1" xfId="0" applyFont="1" applyFill="1" applyBorder="1" applyAlignment="1" applyProtection="1">
      <alignment horizontal="center"/>
      <protection hidden="1"/>
    </xf>
    <xf numFmtId="0" fontId="3" fillId="2" borderId="19" xfId="0" applyFont="1" applyFill="1" applyBorder="1" applyAlignment="1" applyProtection="1">
      <alignment horizontal="left"/>
      <protection hidden="1"/>
    </xf>
    <xf numFmtId="0" fontId="3" fillId="2" borderId="20" xfId="0" applyFont="1" applyFill="1" applyBorder="1" applyAlignment="1" applyProtection="1">
      <alignment horizontal="left"/>
      <protection hidden="1"/>
    </xf>
    <xf numFmtId="0" fontId="3" fillId="2" borderId="42" xfId="0" applyFont="1" applyFill="1" applyBorder="1" applyAlignment="1" applyProtection="1">
      <alignment horizontal="left"/>
      <protection hidden="1"/>
    </xf>
    <xf numFmtId="0" fontId="3" fillId="2" borderId="21" xfId="0" applyFont="1" applyFill="1" applyBorder="1" applyAlignment="1" applyProtection="1">
      <alignment horizontal="left"/>
      <protection hidden="1"/>
    </xf>
    <xf numFmtId="0" fontId="3" fillId="2" borderId="13" xfId="0" applyFont="1" applyFill="1" applyBorder="1" applyAlignment="1" applyProtection="1">
      <alignment horizontal="left"/>
      <protection hidden="1"/>
    </xf>
    <xf numFmtId="0" fontId="3" fillId="2" borderId="41" xfId="0" applyFont="1" applyFill="1" applyBorder="1" applyAlignment="1" applyProtection="1">
      <alignment horizontal="left"/>
      <protection hidden="1"/>
    </xf>
    <xf numFmtId="0" fontId="3" fillId="2" borderId="23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35" xfId="0" applyFont="1" applyFill="1" applyBorder="1" applyAlignment="1" applyProtection="1">
      <alignment horizontal="left"/>
      <protection hidden="1"/>
    </xf>
    <xf numFmtId="0" fontId="6" fillId="18" borderId="19" xfId="0" applyFont="1" applyFill="1" applyBorder="1" applyAlignment="1" applyProtection="1">
      <alignment horizontal="center"/>
      <protection hidden="1"/>
    </xf>
    <xf numFmtId="0" fontId="6" fillId="18" borderId="20" xfId="0" applyFont="1" applyFill="1" applyBorder="1" applyAlignment="1" applyProtection="1">
      <alignment horizontal="center"/>
      <protection hidden="1"/>
    </xf>
    <xf numFmtId="0" fontId="6" fillId="18" borderId="3" xfId="0" applyFont="1" applyFill="1" applyBorder="1" applyAlignment="1" applyProtection="1">
      <alignment horizontal="center"/>
      <protection hidden="1"/>
    </xf>
    <xf numFmtId="0" fontId="6" fillId="18" borderId="21" xfId="0" applyFont="1" applyFill="1" applyBorder="1" applyAlignment="1" applyProtection="1">
      <alignment horizontal="center"/>
      <protection hidden="1"/>
    </xf>
    <xf numFmtId="0" fontId="6" fillId="18" borderId="13" xfId="0" applyFont="1" applyFill="1" applyBorder="1" applyAlignment="1" applyProtection="1">
      <alignment horizontal="center"/>
      <protection hidden="1"/>
    </xf>
    <xf numFmtId="0" fontId="6" fillId="18" borderId="22" xfId="0" applyFont="1" applyFill="1" applyBorder="1" applyAlignment="1" applyProtection="1">
      <alignment horizontal="center"/>
      <protection hidden="1"/>
    </xf>
    <xf numFmtId="0" fontId="4" fillId="9" borderId="0" xfId="0" applyFont="1" applyFill="1" applyAlignment="1" applyProtection="1">
      <alignment horizontal="center"/>
      <protection hidden="1"/>
    </xf>
    <xf numFmtId="1" fontId="3" fillId="2" borderId="17" xfId="1" applyNumberFormat="1" applyFont="1" applyFill="1" applyBorder="1" applyAlignment="1" applyProtection="1">
      <alignment horizontal="center"/>
      <protection hidden="1"/>
    </xf>
    <xf numFmtId="0" fontId="3" fillId="2" borderId="40" xfId="1" applyFont="1" applyFill="1" applyBorder="1" applyAlignment="1" applyProtection="1">
      <alignment horizontal="center"/>
      <protection hidden="1"/>
    </xf>
    <xf numFmtId="1" fontId="4" fillId="19" borderId="47" xfId="0" applyNumberFormat="1" applyFont="1" applyFill="1" applyBorder="1" applyAlignment="1" applyProtection="1">
      <alignment horizontal="center"/>
      <protection hidden="1"/>
    </xf>
    <xf numFmtId="1" fontId="4" fillId="19" borderId="48" xfId="0" applyNumberFormat="1" applyFont="1" applyFill="1" applyBorder="1" applyAlignment="1" applyProtection="1">
      <alignment horizontal="center"/>
      <protection hidden="1"/>
    </xf>
    <xf numFmtId="1" fontId="4" fillId="19" borderId="49" xfId="0" applyNumberFormat="1" applyFont="1" applyFill="1" applyBorder="1" applyAlignment="1" applyProtection="1">
      <alignment horizontal="center"/>
      <protection hidden="1"/>
    </xf>
    <xf numFmtId="1" fontId="4" fillId="19" borderId="50" xfId="0" applyNumberFormat="1" applyFont="1" applyFill="1" applyBorder="1" applyAlignment="1" applyProtection="1">
      <alignment horizontal="center"/>
      <protection hidden="1"/>
    </xf>
    <xf numFmtId="0" fontId="4" fillId="10" borderId="24" xfId="0" applyFont="1" applyFill="1" applyBorder="1" applyAlignment="1" applyProtection="1">
      <alignment horizontal="left"/>
      <protection hidden="1"/>
    </xf>
    <xf numFmtId="0" fontId="4" fillId="10" borderId="2" xfId="0" applyFont="1" applyFill="1" applyBorder="1" applyAlignment="1" applyProtection="1">
      <alignment horizontal="left"/>
      <protection hidden="1"/>
    </xf>
    <xf numFmtId="0" fontId="23" fillId="12" borderId="2" xfId="0" applyNumberFormat="1" applyFont="1" applyFill="1" applyBorder="1" applyAlignment="1" applyProtection="1">
      <alignment horizontal="right"/>
      <protection hidden="1"/>
    </xf>
    <xf numFmtId="167" fontId="4" fillId="9" borderId="51" xfId="0" applyNumberFormat="1" applyFont="1" applyFill="1" applyBorder="1" applyAlignment="1" applyProtection="1">
      <alignment horizontal="center"/>
      <protection hidden="1"/>
    </xf>
    <xf numFmtId="167" fontId="4" fillId="9" borderId="46" xfId="0" applyNumberFormat="1" applyFont="1" applyFill="1" applyBorder="1" applyAlignment="1" applyProtection="1">
      <alignment horizontal="center"/>
      <protection hidden="1"/>
    </xf>
    <xf numFmtId="167" fontId="4" fillId="9" borderId="44" xfId="0" applyNumberFormat="1" applyFont="1" applyFill="1" applyBorder="1" applyAlignment="1" applyProtection="1">
      <alignment horizontal="center"/>
      <protection hidden="1"/>
    </xf>
    <xf numFmtId="167" fontId="4" fillId="9" borderId="52" xfId="0" applyNumberFormat="1" applyFont="1" applyFill="1" applyBorder="1" applyAlignment="1" applyProtection="1">
      <alignment horizontal="center"/>
      <protection hidden="1"/>
    </xf>
    <xf numFmtId="167" fontId="4" fillId="8" borderId="53" xfId="0" applyNumberFormat="1" applyFont="1" applyFill="1" applyBorder="1" applyAlignment="1" applyProtection="1">
      <alignment horizontal="center"/>
      <protection hidden="1"/>
    </xf>
    <xf numFmtId="167" fontId="4" fillId="8" borderId="54" xfId="0" applyNumberFormat="1" applyFont="1" applyFill="1" applyBorder="1" applyAlignment="1" applyProtection="1">
      <alignment horizontal="center"/>
      <protection hidden="1"/>
    </xf>
    <xf numFmtId="167" fontId="4" fillId="8" borderId="55" xfId="0" applyNumberFormat="1" applyFont="1" applyFill="1" applyBorder="1" applyAlignment="1" applyProtection="1">
      <alignment horizontal="center"/>
      <protection hidden="1"/>
    </xf>
    <xf numFmtId="0" fontId="4" fillId="18" borderId="45" xfId="0" applyFont="1" applyFill="1" applyBorder="1" applyAlignment="1" applyProtection="1">
      <alignment horizontal="center"/>
      <protection hidden="1"/>
    </xf>
    <xf numFmtId="1" fontId="4" fillId="18" borderId="38" xfId="0" applyNumberFormat="1" applyFont="1" applyFill="1" applyBorder="1" applyAlignment="1" applyProtection="1">
      <alignment horizontal="center"/>
      <protection hidden="1"/>
    </xf>
    <xf numFmtId="1" fontId="4" fillId="19" borderId="38" xfId="0" applyNumberFormat="1" applyFont="1" applyFill="1" applyBorder="1" applyAlignment="1" applyProtection="1">
      <alignment horizontal="center"/>
      <protection hidden="1"/>
    </xf>
    <xf numFmtId="1" fontId="31" fillId="9" borderId="27" xfId="0" applyNumberFormat="1" applyFont="1" applyFill="1" applyBorder="1" applyAlignment="1" applyProtection="1">
      <alignment horizontal="center"/>
      <protection hidden="1"/>
    </xf>
    <xf numFmtId="1" fontId="31" fillId="9" borderId="15" xfId="0" applyNumberFormat="1" applyFont="1" applyFill="1" applyBorder="1" applyAlignment="1" applyProtection="1">
      <alignment horizontal="center"/>
      <protection hidden="1"/>
    </xf>
    <xf numFmtId="1" fontId="31" fillId="17" borderId="19" xfId="0" applyNumberFormat="1" applyFont="1" applyFill="1" applyBorder="1" applyAlignment="1" applyProtection="1">
      <alignment horizontal="center"/>
      <protection hidden="1"/>
    </xf>
    <xf numFmtId="1" fontId="31" fillId="17" borderId="20" xfId="0" applyNumberFormat="1" applyFont="1" applyFill="1" applyBorder="1" applyAlignment="1" applyProtection="1">
      <alignment horizontal="center"/>
      <protection hidden="1"/>
    </xf>
    <xf numFmtId="1" fontId="31" fillId="17" borderId="3" xfId="0" applyNumberFormat="1" applyFont="1" applyFill="1" applyBorder="1" applyAlignment="1" applyProtection="1">
      <alignment horizontal="center"/>
      <protection hidden="1"/>
    </xf>
    <xf numFmtId="1" fontId="31" fillId="17" borderId="23" xfId="0" applyNumberFormat="1" applyFont="1" applyFill="1" applyBorder="1" applyAlignment="1" applyProtection="1">
      <alignment horizontal="center"/>
      <protection hidden="1"/>
    </xf>
    <xf numFmtId="1" fontId="31" fillId="17" borderId="0" xfId="0" applyNumberFormat="1" applyFont="1" applyFill="1" applyBorder="1" applyAlignment="1" applyProtection="1">
      <alignment horizontal="center"/>
      <protection hidden="1"/>
    </xf>
    <xf numFmtId="1" fontId="31" fillId="17" borderId="4" xfId="0" applyNumberFormat="1" applyFont="1" applyFill="1" applyBorder="1" applyAlignment="1" applyProtection="1">
      <alignment horizontal="center"/>
      <protection hidden="1"/>
    </xf>
    <xf numFmtId="1" fontId="31" fillId="3" borderId="25" xfId="0" applyNumberFormat="1" applyFont="1" applyFill="1" applyBorder="1" applyAlignment="1" applyProtection="1">
      <alignment horizontal="center"/>
      <protection locked="0"/>
    </xf>
    <xf numFmtId="1" fontId="31" fillId="3" borderId="14" xfId="0" applyNumberFormat="1" applyFont="1" applyFill="1" applyBorder="1" applyAlignment="1" applyProtection="1">
      <alignment horizontal="center"/>
      <protection locked="0"/>
    </xf>
    <xf numFmtId="0" fontId="30" fillId="9" borderId="19" xfId="0" applyFont="1" applyFill="1" applyBorder="1" applyAlignment="1" applyProtection="1">
      <alignment horizontal="left"/>
      <protection hidden="1"/>
    </xf>
    <xf numFmtId="0" fontId="30" fillId="9" borderId="20" xfId="0" applyFont="1" applyFill="1" applyBorder="1" applyAlignment="1" applyProtection="1">
      <alignment horizontal="left"/>
      <protection hidden="1"/>
    </xf>
    <xf numFmtId="0" fontId="30" fillId="9" borderId="21" xfId="0" applyFont="1" applyFill="1" applyBorder="1" applyAlignment="1" applyProtection="1">
      <alignment horizontal="left"/>
      <protection hidden="1"/>
    </xf>
    <xf numFmtId="0" fontId="30" fillId="9" borderId="13" xfId="0" applyFont="1" applyFill="1" applyBorder="1" applyAlignment="1" applyProtection="1">
      <alignment horizontal="left"/>
      <protection hidden="1"/>
    </xf>
    <xf numFmtId="0" fontId="30" fillId="17" borderId="19" xfId="0" applyFont="1" applyFill="1" applyBorder="1" applyAlignment="1" applyProtection="1">
      <alignment horizontal="left"/>
      <protection hidden="1"/>
    </xf>
    <xf numFmtId="0" fontId="30" fillId="17" borderId="20" xfId="0" applyFont="1" applyFill="1" applyBorder="1" applyAlignment="1" applyProtection="1">
      <alignment horizontal="left"/>
      <protection hidden="1"/>
    </xf>
    <xf numFmtId="0" fontId="30" fillId="17" borderId="21" xfId="0" applyFont="1" applyFill="1" applyBorder="1" applyAlignment="1" applyProtection="1">
      <alignment horizontal="left"/>
      <protection hidden="1"/>
    </xf>
    <xf numFmtId="0" fontId="30" fillId="17" borderId="13" xfId="0" applyFont="1" applyFill="1" applyBorder="1" applyAlignment="1" applyProtection="1">
      <alignment horizontal="left"/>
      <protection hidden="1"/>
    </xf>
    <xf numFmtId="0" fontId="4" fillId="14" borderId="23" xfId="0" applyFont="1" applyFill="1" applyBorder="1" applyAlignment="1" applyProtection="1">
      <alignment horizontal="center"/>
      <protection hidden="1"/>
    </xf>
    <xf numFmtId="0" fontId="4" fillId="14" borderId="0" xfId="0" applyFont="1" applyFill="1" applyBorder="1" applyAlignment="1" applyProtection="1">
      <alignment horizontal="center"/>
      <protection hidden="1"/>
    </xf>
    <xf numFmtId="0" fontId="4" fillId="14" borderId="4" xfId="0" applyFont="1" applyFill="1" applyBorder="1" applyAlignment="1" applyProtection="1">
      <alignment horizontal="center"/>
      <protection hidden="1"/>
    </xf>
    <xf numFmtId="0" fontId="14" fillId="14" borderId="19" xfId="0" applyFont="1" applyFill="1" applyBorder="1" applyAlignment="1" applyProtection="1">
      <alignment horizontal="center"/>
      <protection hidden="1"/>
    </xf>
    <xf numFmtId="0" fontId="14" fillId="14" borderId="20" xfId="0" applyFont="1" applyFill="1" applyBorder="1" applyAlignment="1" applyProtection="1">
      <alignment horizontal="center"/>
      <protection hidden="1"/>
    </xf>
    <xf numFmtId="0" fontId="14" fillId="14" borderId="3" xfId="0" applyFont="1" applyFill="1" applyBorder="1" applyAlignment="1" applyProtection="1">
      <alignment horizontal="center"/>
      <protection hidden="1"/>
    </xf>
    <xf numFmtId="14" fontId="4" fillId="14" borderId="23" xfId="0" applyNumberFormat="1" applyFont="1" applyFill="1" applyBorder="1" applyAlignment="1" applyProtection="1">
      <alignment horizontal="center"/>
      <protection hidden="1"/>
    </xf>
    <xf numFmtId="14" fontId="4" fillId="14" borderId="0" xfId="0" applyNumberFormat="1" applyFont="1" applyFill="1" applyBorder="1" applyAlignment="1" applyProtection="1">
      <alignment horizontal="center"/>
      <protection hidden="1"/>
    </xf>
    <xf numFmtId="14" fontId="4" fillId="14" borderId="4" xfId="0" applyNumberFormat="1" applyFont="1" applyFill="1" applyBorder="1" applyAlignment="1" applyProtection="1">
      <alignment horizontal="center"/>
      <protection hidden="1"/>
    </xf>
    <xf numFmtId="0" fontId="15" fillId="4" borderId="24" xfId="0" applyFont="1" applyFill="1" applyBorder="1" applyAlignment="1" applyProtection="1">
      <alignment horizontal="center"/>
      <protection hidden="1"/>
    </xf>
    <xf numFmtId="0" fontId="15" fillId="4" borderId="2" xfId="0" applyFont="1" applyFill="1" applyBorder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/>
      <protection hidden="1"/>
    </xf>
    <xf numFmtId="0" fontId="15" fillId="4" borderId="2" xfId="0" applyFont="1" applyFill="1" applyBorder="1" applyAlignment="1" applyProtection="1">
      <alignment horizontal="right"/>
      <protection hidden="1"/>
    </xf>
    <xf numFmtId="0" fontId="15" fillId="4" borderId="2" xfId="0" applyFont="1" applyFill="1" applyBorder="1" applyAlignment="1" applyProtection="1">
      <alignment horizontal="left"/>
      <protection hidden="1"/>
    </xf>
    <xf numFmtId="0" fontId="13" fillId="14" borderId="23" xfId="0" applyFont="1" applyFill="1" applyBorder="1" applyAlignment="1" applyProtection="1">
      <alignment horizontal="center"/>
      <protection hidden="1"/>
    </xf>
    <xf numFmtId="0" fontId="13" fillId="14" borderId="0" xfId="0" applyFont="1" applyFill="1" applyBorder="1" applyAlignment="1" applyProtection="1">
      <alignment horizontal="center"/>
      <protection hidden="1"/>
    </xf>
    <xf numFmtId="0" fontId="13" fillId="14" borderId="4" xfId="0" applyFont="1" applyFill="1" applyBorder="1" applyAlignment="1" applyProtection="1">
      <alignment horizontal="center"/>
      <protection hidden="1"/>
    </xf>
    <xf numFmtId="0" fontId="29" fillId="14" borderId="23" xfId="0" applyFont="1" applyFill="1" applyBorder="1" applyAlignment="1" applyProtection="1">
      <alignment horizontal="center"/>
      <protection hidden="1"/>
    </xf>
    <xf numFmtId="0" fontId="29" fillId="14" borderId="0" xfId="0" applyFont="1" applyFill="1" applyBorder="1" applyAlignment="1" applyProtection="1">
      <alignment horizontal="center"/>
      <protection hidden="1"/>
    </xf>
    <xf numFmtId="0" fontId="29" fillId="14" borderId="4" xfId="0" applyFont="1" applyFill="1" applyBorder="1" applyAlignment="1" applyProtection="1">
      <alignment horizontal="center"/>
      <protection hidden="1"/>
    </xf>
    <xf numFmtId="0" fontId="32" fillId="15" borderId="19" xfId="0" applyFont="1" applyFill="1" applyBorder="1" applyAlignment="1" applyProtection="1">
      <alignment horizontal="right"/>
      <protection hidden="1"/>
    </xf>
    <xf numFmtId="0" fontId="32" fillId="15" borderId="20" xfId="0" applyFont="1" applyFill="1" applyBorder="1" applyAlignment="1" applyProtection="1">
      <alignment horizontal="right"/>
      <protection hidden="1"/>
    </xf>
    <xf numFmtId="0" fontId="32" fillId="15" borderId="20" xfId="0" applyFont="1" applyFill="1" applyBorder="1" applyAlignment="1" applyProtection="1">
      <alignment horizontal="left"/>
      <protection hidden="1"/>
    </xf>
    <xf numFmtId="0" fontId="32" fillId="15" borderId="3" xfId="0" applyFont="1" applyFill="1" applyBorder="1" applyAlignment="1" applyProtection="1">
      <alignment horizontal="left"/>
      <protection hidden="1"/>
    </xf>
    <xf numFmtId="0" fontId="30" fillId="8" borderId="0" xfId="0" applyFont="1" applyFill="1" applyAlignment="1" applyProtection="1">
      <alignment horizontal="left"/>
      <protection hidden="1"/>
    </xf>
    <xf numFmtId="167" fontId="15" fillId="12" borderId="21" xfId="0" applyNumberFormat="1" applyFont="1" applyFill="1" applyBorder="1" applyAlignment="1" applyProtection="1">
      <alignment horizontal="right"/>
      <protection hidden="1"/>
    </xf>
    <xf numFmtId="167" fontId="15" fillId="12" borderId="13" xfId="0" applyNumberFormat="1" applyFont="1" applyFill="1" applyBorder="1" applyAlignment="1" applyProtection="1">
      <alignment horizontal="right"/>
      <protection hidden="1"/>
    </xf>
    <xf numFmtId="0" fontId="11" fillId="3" borderId="24" xfId="0" applyFont="1" applyFill="1" applyBorder="1" applyAlignment="1" applyProtection="1">
      <alignment horizontal="center"/>
      <protection hidden="1"/>
    </xf>
    <xf numFmtId="0" fontId="11" fillId="3" borderId="2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Alignment="1" applyProtection="1">
      <alignment horizontal="center"/>
      <protection hidden="1"/>
    </xf>
    <xf numFmtId="0" fontId="35" fillId="8" borderId="19" xfId="0" applyFont="1" applyFill="1" applyBorder="1" applyAlignment="1" applyProtection="1">
      <alignment horizontal="center"/>
      <protection hidden="1"/>
    </xf>
    <xf numFmtId="0" fontId="35" fillId="8" borderId="20" xfId="0" applyFont="1" applyFill="1" applyBorder="1" applyAlignment="1" applyProtection="1">
      <alignment horizontal="center"/>
      <protection hidden="1"/>
    </xf>
    <xf numFmtId="0" fontId="35" fillId="8" borderId="3" xfId="0" applyFont="1" applyFill="1" applyBorder="1" applyAlignment="1" applyProtection="1">
      <alignment horizontal="center"/>
      <protection hidden="1"/>
    </xf>
    <xf numFmtId="0" fontId="30" fillId="8" borderId="21" xfId="0" applyFont="1" applyFill="1" applyBorder="1" applyAlignment="1" applyProtection="1">
      <alignment horizontal="center"/>
      <protection hidden="1"/>
    </xf>
    <xf numFmtId="0" fontId="30" fillId="8" borderId="13" xfId="0" applyFont="1" applyFill="1" applyBorder="1" applyAlignment="1" applyProtection="1">
      <alignment horizontal="center"/>
      <protection hidden="1"/>
    </xf>
    <xf numFmtId="0" fontId="30" fillId="8" borderId="22" xfId="0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0"/>
  <sheetViews>
    <sheetView showZero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12" sqref="G12"/>
    </sheetView>
  </sheetViews>
  <sheetFormatPr defaultRowHeight="15" x14ac:dyDescent="0.25"/>
  <cols>
    <col min="1" max="4" width="20.7109375" style="4" customWidth="1"/>
    <col min="5" max="6" width="13.7109375" style="4" customWidth="1"/>
    <col min="7" max="8" width="15.7109375" style="4" customWidth="1"/>
    <col min="9" max="10" width="13.7109375" style="4" customWidth="1"/>
    <col min="11" max="11" width="2.7109375" style="4" customWidth="1"/>
    <col min="12" max="13" width="9.140625" style="4"/>
    <col min="14" max="14" width="4.85546875" style="4" customWidth="1"/>
    <col min="15" max="16384" width="9.140625" style="4"/>
  </cols>
  <sheetData>
    <row r="1" spans="1:52" ht="21" thickBot="1" x14ac:dyDescent="0.35">
      <c r="A1" s="198" t="s">
        <v>67</v>
      </c>
      <c r="B1" s="199"/>
      <c r="C1" s="199"/>
      <c r="D1" s="199"/>
      <c r="E1" s="199"/>
      <c r="F1" s="199"/>
      <c r="G1" s="199"/>
      <c r="H1" s="199"/>
      <c r="I1" s="199"/>
      <c r="J1" s="20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01" t="s">
        <v>199</v>
      </c>
      <c r="M2" s="20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6.5" thickBot="1" x14ac:dyDescent="0.3">
      <c r="A3" s="203" t="s">
        <v>30</v>
      </c>
      <c r="B3" s="204"/>
      <c r="C3" s="204"/>
      <c r="D3" s="205"/>
      <c r="E3" s="38" t="s">
        <v>11</v>
      </c>
      <c r="F3" s="38" t="s">
        <v>12</v>
      </c>
      <c r="G3" s="38" t="s">
        <v>3</v>
      </c>
      <c r="H3" s="38" t="s">
        <v>4</v>
      </c>
      <c r="I3" s="38" t="s">
        <v>5</v>
      </c>
      <c r="J3" s="38" t="s">
        <v>6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6.5" thickBot="1" x14ac:dyDescent="0.3">
      <c r="A4" s="206" t="s">
        <v>31</v>
      </c>
      <c r="B4" s="207"/>
      <c r="C4" s="207"/>
      <c r="D4" s="208"/>
      <c r="E4" s="136" t="s">
        <v>14</v>
      </c>
      <c r="F4" s="137" t="s">
        <v>13</v>
      </c>
      <c r="G4" s="136" t="s">
        <v>7</v>
      </c>
      <c r="H4" s="137" t="s">
        <v>8</v>
      </c>
      <c r="I4" s="137" t="s">
        <v>9</v>
      </c>
      <c r="J4" s="137" t="s">
        <v>10</v>
      </c>
      <c r="K4" s="2"/>
      <c r="L4" s="201" t="s">
        <v>28</v>
      </c>
      <c r="M4" s="20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28.5" thickBot="1" x14ac:dyDescent="0.45">
      <c r="A5" s="217" t="s">
        <v>109</v>
      </c>
      <c r="B5" s="218"/>
      <c r="C5" s="218"/>
      <c r="D5" s="218"/>
      <c r="E5" s="95">
        <f>IF(ISBLANK($D$11),0,IF(AND($J$5="SVRS",$D$11&lt;DATEVALUE("21/12/2005")),"C",$H$88))</f>
        <v>0</v>
      </c>
      <c r="F5" s="215" t="s">
        <v>110</v>
      </c>
      <c r="G5" s="215"/>
      <c r="H5" s="215"/>
      <c r="I5" s="215"/>
      <c r="J5" s="96"/>
      <c r="K5" s="2"/>
      <c r="L5" s="201">
        <v>9868303329</v>
      </c>
      <c r="M5" s="20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6.5" thickBot="1" x14ac:dyDescent="0.3">
      <c r="A7" s="179" t="s">
        <v>91</v>
      </c>
      <c r="B7" s="180"/>
      <c r="C7" s="180"/>
      <c r="D7" s="211"/>
      <c r="E7" s="212"/>
      <c r="F7" s="1"/>
      <c r="G7" s="179" t="s">
        <v>90</v>
      </c>
      <c r="H7" s="180"/>
      <c r="I7" s="213" t="str">
        <f>IF(ISBLANK($D$7),$D$79,$F$79)</f>
        <v>Entries Pending</v>
      </c>
      <c r="J7" s="2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6.5" thickBot="1" x14ac:dyDescent="0.3">
      <c r="A8" s="41"/>
      <c r="B8" s="41"/>
      <c r="C8" s="41"/>
      <c r="D8" s="1"/>
      <c r="E8" s="1"/>
      <c r="F8" s="1"/>
      <c r="G8" s="41"/>
      <c r="H8" s="4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6.5" thickBot="1" x14ac:dyDescent="0.3">
      <c r="A9" s="179" t="s">
        <v>92</v>
      </c>
      <c r="B9" s="180"/>
      <c r="C9" s="180"/>
      <c r="D9" s="211"/>
      <c r="E9" s="212"/>
      <c r="F9" s="1"/>
      <c r="G9" s="179" t="s">
        <v>65</v>
      </c>
      <c r="H9" s="180"/>
      <c r="I9" s="209">
        <f>IF(OR(ISBLANK($D$7),ISBLANK($D$11)),0,DATEDIF($D$7,$D$11,"Y"))</f>
        <v>0</v>
      </c>
      <c r="J9" s="210"/>
      <c r="K9" s="2"/>
      <c r="L9" s="216" t="str">
        <f>IF(OR(ISBLANK($D$7),ISBLANK($D$11)),0,DATEDIF($D$7,$D$11,"M"))-($I$9*12)&amp;" Months"</f>
        <v>0 Months</v>
      </c>
      <c r="M9" s="21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6.5" thickBot="1" x14ac:dyDescent="0.3">
      <c r="A10" s="41"/>
      <c r="B10" s="41"/>
      <c r="C10" s="41"/>
      <c r="D10" s="1"/>
      <c r="E10" s="1"/>
      <c r="F10" s="1"/>
      <c r="G10" s="41"/>
      <c r="H10" s="4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6.5" thickBot="1" x14ac:dyDescent="0.3">
      <c r="A11" s="179" t="s">
        <v>93</v>
      </c>
      <c r="B11" s="180"/>
      <c r="C11" s="180"/>
      <c r="D11" s="211"/>
      <c r="E11" s="212"/>
      <c r="F11" s="1"/>
      <c r="G11" s="179" t="s">
        <v>171</v>
      </c>
      <c r="H11" s="180"/>
      <c r="I11" s="209">
        <f>IF(OR(ISBLANK($D$9),ISBLANK($D$11)),0,DATEDIF($D$9,$D$11,"Y"))</f>
        <v>0</v>
      </c>
      <c r="J11" s="210"/>
      <c r="K11" s="2"/>
      <c r="L11" s="216" t="str">
        <f>IF(OR(ISBLANK($D$9),ISBLANK($D$11)),0,DATEDIF($D$9,$D$11,"M"))-($I$11*12)&amp; " Months"</f>
        <v>0 Months</v>
      </c>
      <c r="M11" s="2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6.5" thickBot="1" x14ac:dyDescent="0.3">
      <c r="A12" s="41"/>
      <c r="B12" s="41"/>
      <c r="C12" s="41"/>
      <c r="D12" s="1"/>
      <c r="E12" s="1"/>
      <c r="F12" s="1"/>
      <c r="G12" s="41"/>
      <c r="H12" s="4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6.5" thickBot="1" x14ac:dyDescent="0.3">
      <c r="A13" s="179" t="s">
        <v>166</v>
      </c>
      <c r="B13" s="180"/>
      <c r="C13" s="180"/>
      <c r="D13" s="221"/>
      <c r="E13" s="222"/>
      <c r="F13" s="1"/>
      <c r="G13" s="179" t="s">
        <v>177</v>
      </c>
      <c r="H13" s="180"/>
      <c r="I13" s="209">
        <f>+$J$38</f>
        <v>0</v>
      </c>
      <c r="J13" s="21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6.5" thickBot="1" x14ac:dyDescent="0.3">
      <c r="A14" s="41"/>
      <c r="B14" s="41"/>
      <c r="C14" s="41"/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6.5" thickBot="1" x14ac:dyDescent="0.3">
      <c r="A15" s="179" t="s">
        <v>106</v>
      </c>
      <c r="B15" s="180"/>
      <c r="C15" s="180"/>
      <c r="D15" s="221" t="s">
        <v>200</v>
      </c>
      <c r="E15" s="222"/>
      <c r="F15" s="1"/>
      <c r="G15" s="179" t="s">
        <v>170</v>
      </c>
      <c r="H15" s="180"/>
      <c r="I15" s="209" t="str">
        <f>IF(AND($D$13="VRS",$B$75="Yes",ISBLANK($D$19)),$F$75,IF(AND(ISBLANK($D$13),$B$75="Yes",ISBLANK($D$19)),$I$75,IF($D$19&gt;0,$D$19,"Not Qualified")))</f>
        <v>Not Qualified</v>
      </c>
      <c r="J15" s="21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6.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6.5" thickBot="1" x14ac:dyDescent="0.3">
      <c r="A17" s="179" t="s">
        <v>94</v>
      </c>
      <c r="B17" s="180"/>
      <c r="C17" s="180"/>
      <c r="D17" s="223"/>
      <c r="E17" s="224"/>
      <c r="F17" s="1"/>
      <c r="G17" s="179" t="s">
        <v>172</v>
      </c>
      <c r="H17" s="180"/>
      <c r="I17" s="209" t="str">
        <f>IF(ISBLANK($D$21),$D$82,$D$21)</f>
        <v>Not Payable</v>
      </c>
      <c r="J17" s="21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6.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6.5" thickBot="1" x14ac:dyDescent="0.3">
      <c r="A19" s="179" t="s">
        <v>107</v>
      </c>
      <c r="B19" s="180"/>
      <c r="C19" s="180"/>
      <c r="D19" s="181"/>
      <c r="E19" s="182"/>
      <c r="F19" s="1"/>
      <c r="G19" s="179" t="s">
        <v>173</v>
      </c>
      <c r="H19" s="180"/>
      <c r="I19" s="209" t="str">
        <f>IF(ISBLANK($D$23),$H$85,$D$23)</f>
        <v>Not Payable</v>
      </c>
      <c r="J19" s="2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6.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6.5" thickBot="1" x14ac:dyDescent="0.3">
      <c r="A21" s="179" t="s">
        <v>108</v>
      </c>
      <c r="B21" s="180"/>
      <c r="C21" s="180"/>
      <c r="D21" s="181"/>
      <c r="E21" s="182"/>
      <c r="F21" s="1"/>
      <c r="G21" s="179" t="s">
        <v>193</v>
      </c>
      <c r="H21" s="180"/>
      <c r="I21" s="209" t="str">
        <f>+$F$85</f>
        <v>Not Payable</v>
      </c>
      <c r="J21" s="2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6.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6.5" thickBot="1" x14ac:dyDescent="0.3">
      <c r="A23" s="179" t="s">
        <v>113</v>
      </c>
      <c r="B23" s="180"/>
      <c r="C23" s="180"/>
      <c r="D23" s="181"/>
      <c r="E23" s="182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6.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6.5" thickBot="1" x14ac:dyDescent="0.3">
      <c r="A26" s="79" t="s">
        <v>82</v>
      </c>
      <c r="B26" s="80" t="s">
        <v>15</v>
      </c>
      <c r="C26" s="80" t="s">
        <v>68</v>
      </c>
      <c r="D26" s="80" t="s">
        <v>81</v>
      </c>
      <c r="E26" s="80" t="s">
        <v>78</v>
      </c>
      <c r="F26" s="1"/>
      <c r="G26" s="232" t="s">
        <v>178</v>
      </c>
      <c r="H26" s="233"/>
      <c r="I26" s="233"/>
      <c r="J26" s="23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6.5" thickBot="1" x14ac:dyDescent="0.3">
      <c r="A27" s="81">
        <v>1</v>
      </c>
      <c r="B27" s="67">
        <v>0</v>
      </c>
      <c r="C27" s="68">
        <v>0</v>
      </c>
      <c r="D27" s="69"/>
      <c r="E27" s="98">
        <f>+B27+C27+D27</f>
        <v>0</v>
      </c>
      <c r="F27" s="1"/>
      <c r="G27" s="94" t="s">
        <v>87</v>
      </c>
      <c r="H27" s="219" t="s">
        <v>88</v>
      </c>
      <c r="I27" s="220"/>
      <c r="J27" s="70" t="s">
        <v>86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.75" x14ac:dyDescent="0.25">
      <c r="A28" s="81" t="s">
        <v>69</v>
      </c>
      <c r="B28" s="67"/>
      <c r="C28" s="68"/>
      <c r="D28" s="69"/>
      <c r="E28" s="98">
        <f t="shared" ref="E28:E37" si="0">+B28+C28+D28</f>
        <v>0</v>
      </c>
      <c r="F28" s="1"/>
      <c r="G28" s="66"/>
      <c r="H28" s="162"/>
      <c r="I28" s="163"/>
      <c r="J28" s="90">
        <f t="shared" ref="J28:J37" si="1">IF(G28&gt;0,G28,IF(H28&gt;0,I28-H28+1,0))</f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.75" x14ac:dyDescent="0.25">
      <c r="A29" s="81" t="s">
        <v>70</v>
      </c>
      <c r="B29" s="67"/>
      <c r="C29" s="68"/>
      <c r="D29" s="69"/>
      <c r="E29" s="98">
        <f t="shared" si="0"/>
        <v>0</v>
      </c>
      <c r="F29" s="1"/>
      <c r="G29" s="66"/>
      <c r="H29" s="162"/>
      <c r="I29" s="163"/>
      <c r="J29" s="90">
        <f t="shared" si="1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.75" x14ac:dyDescent="0.25">
      <c r="A30" s="81" t="s">
        <v>71</v>
      </c>
      <c r="B30" s="67"/>
      <c r="C30" s="68"/>
      <c r="D30" s="69"/>
      <c r="E30" s="98">
        <f t="shared" si="0"/>
        <v>0</v>
      </c>
      <c r="F30" s="1"/>
      <c r="G30" s="66"/>
      <c r="H30" s="162"/>
      <c r="I30" s="163"/>
      <c r="J30" s="90">
        <f t="shared" si="1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.75" x14ac:dyDescent="0.25">
      <c r="A31" s="81" t="s">
        <v>72</v>
      </c>
      <c r="B31" s="67"/>
      <c r="C31" s="68"/>
      <c r="D31" s="69"/>
      <c r="E31" s="98">
        <f t="shared" si="0"/>
        <v>0</v>
      </c>
      <c r="F31" s="1"/>
      <c r="G31" s="66"/>
      <c r="H31" s="162"/>
      <c r="I31" s="163"/>
      <c r="J31" s="90">
        <f t="shared" si="1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.75" x14ac:dyDescent="0.25">
      <c r="A32" s="81" t="s">
        <v>73</v>
      </c>
      <c r="B32" s="67"/>
      <c r="C32" s="68"/>
      <c r="D32" s="69"/>
      <c r="E32" s="98">
        <f t="shared" si="0"/>
        <v>0</v>
      </c>
      <c r="F32" s="1"/>
      <c r="G32" s="66"/>
      <c r="H32" s="162"/>
      <c r="I32" s="163"/>
      <c r="J32" s="90">
        <f t="shared" si="1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.75" x14ac:dyDescent="0.25">
      <c r="A33" s="81" t="s">
        <v>74</v>
      </c>
      <c r="B33" s="67"/>
      <c r="C33" s="68"/>
      <c r="D33" s="69"/>
      <c r="E33" s="98">
        <f t="shared" si="0"/>
        <v>0</v>
      </c>
      <c r="F33" s="1"/>
      <c r="G33" s="66"/>
      <c r="H33" s="162"/>
      <c r="I33" s="163"/>
      <c r="J33" s="90">
        <f t="shared" si="1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5.75" x14ac:dyDescent="0.25">
      <c r="A34" s="81" t="s">
        <v>75</v>
      </c>
      <c r="B34" s="67"/>
      <c r="C34" s="68"/>
      <c r="D34" s="69"/>
      <c r="E34" s="98">
        <f t="shared" si="0"/>
        <v>0</v>
      </c>
      <c r="F34" s="1"/>
      <c r="G34" s="66"/>
      <c r="H34" s="162"/>
      <c r="I34" s="163"/>
      <c r="J34" s="90">
        <f t="shared" si="1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.75" x14ac:dyDescent="0.25">
      <c r="A35" s="81" t="s">
        <v>76</v>
      </c>
      <c r="B35" s="67"/>
      <c r="C35" s="68"/>
      <c r="D35" s="69"/>
      <c r="E35" s="98">
        <f t="shared" si="0"/>
        <v>0</v>
      </c>
      <c r="F35" s="1"/>
      <c r="G35" s="66"/>
      <c r="H35" s="162"/>
      <c r="I35" s="163"/>
      <c r="J35" s="90">
        <f t="shared" si="1"/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.75" x14ac:dyDescent="0.25">
      <c r="A36" s="81" t="s">
        <v>77</v>
      </c>
      <c r="B36" s="67"/>
      <c r="C36" s="68"/>
      <c r="D36" s="69"/>
      <c r="E36" s="98">
        <f t="shared" si="0"/>
        <v>0</v>
      </c>
      <c r="F36" s="1"/>
      <c r="G36" s="66"/>
      <c r="H36" s="162"/>
      <c r="I36" s="163"/>
      <c r="J36" s="90">
        <f t="shared" si="1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6.5" thickBot="1" x14ac:dyDescent="0.3">
      <c r="A37" s="82" t="s">
        <v>80</v>
      </c>
      <c r="B37" s="69"/>
      <c r="C37" s="68"/>
      <c r="D37" s="69"/>
      <c r="E37" s="98">
        <f t="shared" si="0"/>
        <v>0</v>
      </c>
      <c r="F37" s="1"/>
      <c r="G37" s="66"/>
      <c r="H37" s="162"/>
      <c r="I37" s="163"/>
      <c r="J37" s="90">
        <f t="shared" si="1"/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6.5" thickBot="1" x14ac:dyDescent="0.3">
      <c r="A38" s="83" t="s">
        <v>78</v>
      </c>
      <c r="B38" s="84">
        <f>SUM(B27:B37)</f>
        <v>0</v>
      </c>
      <c r="C38" s="84">
        <f t="shared" ref="C38:E38" si="2">SUM(C27:C37)</f>
        <v>0</v>
      </c>
      <c r="D38" s="84">
        <f t="shared" si="2"/>
        <v>0</v>
      </c>
      <c r="E38" s="84">
        <f t="shared" si="2"/>
        <v>0</v>
      </c>
      <c r="F38" s="1"/>
      <c r="G38" s="86" t="s">
        <v>79</v>
      </c>
      <c r="H38" s="87"/>
      <c r="I38" s="88"/>
      <c r="J38" s="89">
        <f>SUM(J28:J37)</f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6.5" thickBot="1" x14ac:dyDescent="0.3">
      <c r="A39" s="1"/>
      <c r="B39" s="1"/>
      <c r="C39" s="1"/>
      <c r="D39" s="85" t="s">
        <v>83</v>
      </c>
      <c r="E39" s="84">
        <f>+E38/10</f>
        <v>0</v>
      </c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6.5" hidden="1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6.5" hidden="1" thickBot="1" x14ac:dyDescent="0.3">
      <c r="A46" s="229" t="s">
        <v>29</v>
      </c>
      <c r="B46" s="230"/>
      <c r="C46" s="230"/>
      <c r="D46" s="230"/>
      <c r="E46" s="230"/>
      <c r="F46" s="230"/>
      <c r="G46" s="230"/>
      <c r="H46" s="230"/>
      <c r="I46" s="230"/>
      <c r="J46" s="23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5.75" hidden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5.75" hidden="1" x14ac:dyDescent="0.25">
      <c r="A48" s="1"/>
      <c r="B48" s="196" t="s">
        <v>145</v>
      </c>
      <c r="C48" s="197"/>
      <c r="D48" s="197"/>
      <c r="E48" s="197"/>
      <c r="F48" s="1"/>
      <c r="G48" s="197" t="s">
        <v>146</v>
      </c>
      <c r="H48" s="197"/>
      <c r="I48" s="197"/>
      <c r="J48" s="23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5.75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hidden="1" x14ac:dyDescent="0.25">
      <c r="A50" s="1"/>
      <c r="B50" s="103" t="s">
        <v>37</v>
      </c>
      <c r="C50" s="103" t="s">
        <v>158</v>
      </c>
      <c r="D50" s="103" t="s">
        <v>148</v>
      </c>
      <c r="E50" s="124" t="s">
        <v>155</v>
      </c>
      <c r="F50" s="1"/>
      <c r="G50" s="103" t="s">
        <v>147</v>
      </c>
      <c r="H50" s="123" t="s">
        <v>157</v>
      </c>
      <c r="I50" s="103" t="s">
        <v>148</v>
      </c>
      <c r="J50" s="124" t="s">
        <v>155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hidden="1" x14ac:dyDescent="0.25">
      <c r="A51" s="1"/>
      <c r="B51" s="120">
        <f>+$D$9</f>
        <v>0</v>
      </c>
      <c r="C51" s="120">
        <f>DATE(YEAR($D$9)+19,MONTH($D$9)+6,DAY($D$9))</f>
        <v>7121</v>
      </c>
      <c r="D51" s="120">
        <f>+$D$11</f>
        <v>0</v>
      </c>
      <c r="E51" s="120">
        <f>+$D$57+$I$57</f>
        <v>0</v>
      </c>
      <c r="F51" s="1"/>
      <c r="G51" s="120">
        <f>+$D$9</f>
        <v>0</v>
      </c>
      <c r="H51" s="120">
        <f>DATE(YEAR($D$9)+9,MONTH($D$9)+6,DAY($D$9))</f>
        <v>3469</v>
      </c>
      <c r="I51" s="120">
        <f>+$D$11</f>
        <v>0</v>
      </c>
      <c r="J51" s="120">
        <f>+$D$57+$I$57</f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5.75" hidden="1" x14ac:dyDescent="0.25">
      <c r="A52" s="1"/>
      <c r="B52" s="235" t="str">
        <f>IF($E$51&gt;=$C$51,"Yes","No")</f>
        <v>No</v>
      </c>
      <c r="C52" s="236"/>
      <c r="D52" s="236"/>
      <c r="E52" s="236"/>
      <c r="F52" s="1"/>
      <c r="G52" s="236" t="str">
        <f>IF($J51&gt;=$H$51,"Yes","No")</f>
        <v>No</v>
      </c>
      <c r="H52" s="236"/>
      <c r="I52" s="236"/>
      <c r="J52" s="23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5.75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5.75" hidden="1" x14ac:dyDescent="0.25">
      <c r="A54" s="1"/>
      <c r="B54" s="196" t="s">
        <v>153</v>
      </c>
      <c r="C54" s="197"/>
      <c r="D54" s="197"/>
      <c r="E54" s="197"/>
      <c r="F54" s="1"/>
      <c r="G54" s="196" t="s">
        <v>154</v>
      </c>
      <c r="H54" s="197"/>
      <c r="I54" s="197"/>
      <c r="J54" s="19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5.75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5.75" hidden="1" x14ac:dyDescent="0.25">
      <c r="A56" s="1"/>
      <c r="B56" s="103" t="s">
        <v>149</v>
      </c>
      <c r="C56" s="103" t="s">
        <v>144</v>
      </c>
      <c r="D56" s="103" t="s">
        <v>150</v>
      </c>
      <c r="E56" s="123" t="s">
        <v>156</v>
      </c>
      <c r="F56" s="1"/>
      <c r="G56" s="186" t="s">
        <v>87</v>
      </c>
      <c r="H56" s="187"/>
      <c r="I56" s="103" t="s">
        <v>151</v>
      </c>
      <c r="J56" s="103" t="s">
        <v>152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.75" hidden="1" x14ac:dyDescent="0.25">
      <c r="A57" s="1"/>
      <c r="B57" s="131">
        <f>IF(OR(ISBLANK($D$9),ISBLANK($D$11)),0,DATEDIF($D$9,$D$11,"Y"))</f>
        <v>0</v>
      </c>
      <c r="C57" s="131">
        <f>IF(OR(ISBLANK($D$9),ISBLANK($D$11)),0,DATEDIF($D$9,$D$11,"M")-$B$57*12)</f>
        <v>0</v>
      </c>
      <c r="D57" s="120">
        <f>DATE(YEAR($D$9)+$B$57,MONTH($D$9)+$C$57,DAY($D$9))</f>
        <v>0</v>
      </c>
      <c r="E57" s="131">
        <f>IF(OR(ISBLANK($D$9),ISBLANK($D$11)),0,DATEDIF($D$57,$D$11,"D"))</f>
        <v>0</v>
      </c>
      <c r="F57" s="1"/>
      <c r="G57" s="166">
        <f>+$J$38</f>
        <v>0</v>
      </c>
      <c r="H57" s="167"/>
      <c r="I57" s="131">
        <f>+$E$57-$G57</f>
        <v>0</v>
      </c>
      <c r="J57" s="121">
        <f>+$I$57/30</f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.75" hidden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.75" hidden="1" x14ac:dyDescent="0.25">
      <c r="A59" s="1"/>
      <c r="B59" s="196" t="s">
        <v>162</v>
      </c>
      <c r="C59" s="197"/>
      <c r="D59" s="197"/>
      <c r="E59" s="197"/>
      <c r="F59" s="197"/>
      <c r="G59" s="197"/>
      <c r="H59" s="197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.75" hidden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.75" hidden="1" x14ac:dyDescent="0.25">
      <c r="A61" s="1"/>
      <c r="B61" s="103" t="s">
        <v>155</v>
      </c>
      <c r="C61" s="103" t="s">
        <v>143</v>
      </c>
      <c r="D61" s="103" t="s">
        <v>144</v>
      </c>
      <c r="E61" s="103" t="s">
        <v>159</v>
      </c>
      <c r="F61" s="103" t="s">
        <v>160</v>
      </c>
      <c r="G61" s="103" t="s">
        <v>161</v>
      </c>
      <c r="H61" s="103" t="s">
        <v>156</v>
      </c>
      <c r="I61" s="1"/>
      <c r="J61" s="243" t="s">
        <v>197</v>
      </c>
      <c r="K61" s="24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.75" hidden="1" x14ac:dyDescent="0.25">
      <c r="A62" s="1"/>
      <c r="B62" s="122">
        <f>+$D$57+$I$57</f>
        <v>0</v>
      </c>
      <c r="C62" s="125">
        <f>IF(OR(ISBLANK($D$9),ISBLANK($D$11)),0,DATEDIF($D$9,$B$62,"Y"))</f>
        <v>0</v>
      </c>
      <c r="D62" s="125">
        <f>IF(OR(ISBLANK($D$9),ISBLANK($D$11)),0,DATEDIF($D$9,$B$62,"M"))-($C$62*12)</f>
        <v>0</v>
      </c>
      <c r="E62" s="158">
        <f>DATE(YEAR($D$9)+$C$62,MONTH($D$9)+$D$62,DAY($D$9))</f>
        <v>0</v>
      </c>
      <c r="F62" s="131">
        <f>IF(OR(ISBLANK($D$9),ISBLANK($D$11)),0,DATEDIF($D$9,$B$62,"D"))</f>
        <v>0</v>
      </c>
      <c r="G62" s="131">
        <f>IF(OR(ISBLANK($D$9),ISBLANK($D$11)),0,DATEDIF($D$9,$E$62,"D"))</f>
        <v>0</v>
      </c>
      <c r="H62" s="125">
        <f>+$F$62-$G$62</f>
        <v>0</v>
      </c>
      <c r="I62" s="1"/>
      <c r="J62" s="170">
        <f>IF($D$62&gt;=6,$C$62+1,$C$62)</f>
        <v>0</v>
      </c>
      <c r="K62" s="18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.75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.75" hidden="1" x14ac:dyDescent="0.25">
      <c r="A64" s="1"/>
      <c r="B64" s="196" t="s">
        <v>163</v>
      </c>
      <c r="C64" s="197"/>
      <c r="D64" s="197"/>
      <c r="E64" s="197"/>
      <c r="F64" s="197"/>
      <c r="G64" s="197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.75" hidden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hidden="1" x14ac:dyDescent="0.25">
      <c r="A66" s="1"/>
      <c r="B66" s="227" t="s">
        <v>164</v>
      </c>
      <c r="C66" s="228"/>
      <c r="D66" s="227" t="s">
        <v>90</v>
      </c>
      <c r="E66" s="228"/>
      <c r="F66" s="227" t="s">
        <v>165</v>
      </c>
      <c r="G66" s="228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hidden="1" x14ac:dyDescent="0.25">
      <c r="A67" s="1"/>
      <c r="B67" s="190">
        <f>DATE(YEAR($B$62)+5,MONTH($B$62),DAY($B$62))</f>
        <v>1827</v>
      </c>
      <c r="C67" s="191"/>
      <c r="D67" s="190" t="str">
        <f>+$I$7</f>
        <v>Entries Pending</v>
      </c>
      <c r="E67" s="191"/>
      <c r="F67" s="188">
        <v>33</v>
      </c>
      <c r="G67" s="189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.75" hidden="1" x14ac:dyDescent="0.25">
      <c r="A68" s="1"/>
      <c r="B68" s="103" t="s">
        <v>143</v>
      </c>
      <c r="C68" s="103" t="s">
        <v>144</v>
      </c>
      <c r="D68" s="103" t="s">
        <v>143</v>
      </c>
      <c r="E68" s="103" t="s">
        <v>144</v>
      </c>
      <c r="F68" s="186" t="s">
        <v>143</v>
      </c>
      <c r="G68" s="187"/>
      <c r="H68" s="71"/>
      <c r="I68" s="72"/>
      <c r="J68" s="7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.75" hidden="1" x14ac:dyDescent="0.25">
      <c r="A69" s="1"/>
      <c r="B69" s="126">
        <f>IF(OR(ISBLANK($D$9),ISBLANK($D$11)),0,DATEDIF($D$9,$B$67,"Y"))</f>
        <v>0</v>
      </c>
      <c r="C69" s="126">
        <f>IF(OR(ISBLANK($D$9),ISBLANK($D$11)),0,DATEDIF($D$9,$B$67,"M"))-$B$69*12</f>
        <v>0</v>
      </c>
      <c r="D69" s="126">
        <f>IF(OR(ISBLANK($D$9),ISBLANK($D$11)),0,DATEDIF($D$9,$D$67,"Y"))</f>
        <v>0</v>
      </c>
      <c r="E69" s="126">
        <f>IF(OR(ISBLANK($D$9),ISBLANK($D$11)),0,DATEDIF($D$9,$D$67,"M"))-$D$69*12</f>
        <v>0</v>
      </c>
      <c r="F69" s="188">
        <v>33</v>
      </c>
      <c r="G69" s="189"/>
      <c r="H69" s="71"/>
      <c r="I69" s="72"/>
      <c r="J69" s="7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.75" hidden="1" x14ac:dyDescent="0.25">
      <c r="A70" s="1"/>
      <c r="B70" s="170">
        <f>IF($C$69&gt;=6,$B$69+1,$B$69)</f>
        <v>0</v>
      </c>
      <c r="C70" s="185"/>
      <c r="D70" s="170">
        <f>IF($E$69&gt;=6,$D$69+1,$D$69)</f>
        <v>0</v>
      </c>
      <c r="E70" s="185"/>
      <c r="F70" s="170">
        <v>33</v>
      </c>
      <c r="G70" s="185"/>
      <c r="H70" s="71"/>
      <c r="I70" s="72"/>
      <c r="J70" s="7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.75" hidden="1" x14ac:dyDescent="0.25">
      <c r="A71" s="1"/>
      <c r="B71" s="1"/>
      <c r="C71" s="1"/>
      <c r="D71" s="1"/>
      <c r="E71" s="1"/>
      <c r="F71" s="1"/>
      <c r="G71" s="1"/>
      <c r="H71" s="71"/>
      <c r="I71" s="72"/>
      <c r="J71" s="7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.75" hidden="1" x14ac:dyDescent="0.25">
      <c r="A72" s="1"/>
      <c r="B72" s="196" t="s">
        <v>167</v>
      </c>
      <c r="C72" s="197"/>
      <c r="D72" s="197"/>
      <c r="E72" s="197"/>
      <c r="F72" s="197"/>
      <c r="G72" s="197"/>
      <c r="H72" s="71"/>
      <c r="I72" s="72"/>
      <c r="J72" s="7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.75" hidden="1" x14ac:dyDescent="0.25">
      <c r="A73" s="1"/>
      <c r="B73" s="1"/>
      <c r="C73" s="1"/>
      <c r="D73" s="1"/>
      <c r="E73" s="1"/>
      <c r="F73" s="1"/>
      <c r="G73" s="1"/>
      <c r="H73" s="71"/>
      <c r="I73" s="72"/>
      <c r="J73" s="7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.75" hidden="1" x14ac:dyDescent="0.25">
      <c r="A74" s="1"/>
      <c r="B74" s="239" t="s">
        <v>198</v>
      </c>
      <c r="C74" s="240"/>
      <c r="D74" s="1"/>
      <c r="E74" s="1"/>
      <c r="F74" s="239" t="s">
        <v>169</v>
      </c>
      <c r="G74" s="240"/>
      <c r="H74" s="71"/>
      <c r="I74" s="239" t="s">
        <v>168</v>
      </c>
      <c r="J74" s="24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.75" hidden="1" x14ac:dyDescent="0.25">
      <c r="A75" s="1"/>
      <c r="B75" s="241" t="str">
        <f>IF($J51&gt;=$H$51,"Yes","No")</f>
        <v>No</v>
      </c>
      <c r="C75" s="242"/>
      <c r="D75" s="1"/>
      <c r="E75" s="1"/>
      <c r="F75" s="170">
        <f>IF(AND($D$13="VRS",$B$52="No"),"Not Qualified",MIN($B$70:$F$70))</f>
        <v>0</v>
      </c>
      <c r="G75" s="185"/>
      <c r="H75" s="71"/>
      <c r="I75" s="170" t="str">
        <f>IF($B$75="No","Not Qualified",IF($J$62&gt;=33,33,$J$62))</f>
        <v>Not Qualified</v>
      </c>
      <c r="J75" s="18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5.75" hidden="1" x14ac:dyDescent="0.25">
      <c r="A76" s="1"/>
      <c r="B76" s="1"/>
      <c r="C76" s="1"/>
      <c r="D76" s="1"/>
      <c r="E76" s="1"/>
      <c r="F76" s="1"/>
      <c r="G76" s="1"/>
      <c r="H76" s="71"/>
      <c r="I76" s="72"/>
      <c r="J76" s="7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5.75" hidden="1" x14ac:dyDescent="0.25">
      <c r="A77" s="1"/>
      <c r="B77" s="196" t="s">
        <v>174</v>
      </c>
      <c r="C77" s="197"/>
      <c r="D77" s="197"/>
      <c r="E77" s="197"/>
      <c r="F77" s="197"/>
      <c r="G77" s="197"/>
      <c r="H77" s="71"/>
      <c r="I77" s="72"/>
      <c r="J77" s="7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5.75" hidden="1" x14ac:dyDescent="0.25">
      <c r="A78" s="1"/>
      <c r="B78" s="1"/>
      <c r="C78" s="1"/>
      <c r="D78" s="1"/>
      <c r="E78" s="1"/>
      <c r="F78" s="1"/>
      <c r="G78" s="1"/>
      <c r="H78" s="71"/>
      <c r="I78" s="72"/>
      <c r="J78" s="7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5.75" hidden="1" x14ac:dyDescent="0.25">
      <c r="A79" s="1"/>
      <c r="B79" s="194" t="s">
        <v>90</v>
      </c>
      <c r="C79" s="195"/>
      <c r="D79" s="194" t="str">
        <f>IF(ISBLANK($D$7),"Entries Pending",DATE(YEAR($D$7)+60,MONTH($D$7),DAY($D$7)))</f>
        <v>Entries Pending</v>
      </c>
      <c r="E79" s="195"/>
      <c r="F79" s="192" t="e">
        <f>EOMONTH($D$79,0)</f>
        <v>#VALUE!</v>
      </c>
      <c r="G79" s="193"/>
      <c r="H79" s="71"/>
      <c r="I79" s="72"/>
      <c r="J79" s="7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5.75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5.75" hidden="1" x14ac:dyDescent="0.25">
      <c r="A81" s="1"/>
      <c r="B81" s="128" t="s">
        <v>95</v>
      </c>
      <c r="C81" s="128" t="s">
        <v>98</v>
      </c>
      <c r="D81" s="128" t="s">
        <v>175</v>
      </c>
      <c r="E81" s="172" t="s">
        <v>97</v>
      </c>
      <c r="F81" s="172"/>
      <c r="G81" s="172" t="s">
        <v>99</v>
      </c>
      <c r="H81" s="172"/>
      <c r="I81" s="177" t="s">
        <v>100</v>
      </c>
      <c r="J81" s="17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5.75" hidden="1" x14ac:dyDescent="0.25">
      <c r="A82" s="1"/>
      <c r="B82" s="128" t="s">
        <v>96</v>
      </c>
      <c r="C82" s="131">
        <f>+$E$39/2</f>
        <v>0</v>
      </c>
      <c r="D82" s="125" t="str">
        <f>IF(AND(ISBLANK($D$21),$I$15&lt;&gt;"Not Qualified"),ROUNDUP($C$82*$I$15/33,0),IF(AND(ISBLANK($D$21),$I$15="Not Qualified"),"Not Payable",$D$21))</f>
        <v>Not Payable</v>
      </c>
      <c r="E82" s="173" t="str">
        <f>IF(AND($D$15="Yes",$D$82="Not Payable"),"Not Payable",IF(AND($D$15="Yes",$D$82&lt;&gt;"Not Payable"),ROUNDDOWN($D$82/3,0),0))</f>
        <v>Not Payable</v>
      </c>
      <c r="F82" s="174"/>
      <c r="G82" s="173" t="str">
        <f>IF(AND($D$15="Yes",$D$82="Not Payable"),"Not Payable",IF(AND($D$15="Yes",$D$82&lt;&gt;"Not Payable"),ROUNDDOWN($D$82*$D$17,0),0))</f>
        <v>Not Payable</v>
      </c>
      <c r="H82" s="174"/>
      <c r="I82" s="175" t="str">
        <f>IF(ISBLANK($D$17),$E$82,$G$82)</f>
        <v>Not Payable</v>
      </c>
      <c r="J82" s="17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5.75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5.75" hidden="1" x14ac:dyDescent="0.25">
      <c r="A84" s="1"/>
      <c r="B84" s="127" t="s">
        <v>101</v>
      </c>
      <c r="C84" s="128" t="s">
        <v>103</v>
      </c>
      <c r="D84" s="128" t="s">
        <v>104</v>
      </c>
      <c r="E84" s="91" t="s">
        <v>105</v>
      </c>
      <c r="F84" s="183" t="s">
        <v>66</v>
      </c>
      <c r="G84" s="183"/>
      <c r="H84" s="168" t="s">
        <v>176</v>
      </c>
      <c r="I84" s="169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5.75" hidden="1" x14ac:dyDescent="0.25">
      <c r="A85" s="1"/>
      <c r="B85" s="127" t="s">
        <v>102</v>
      </c>
      <c r="C85" s="131">
        <f>+$I$9</f>
        <v>0</v>
      </c>
      <c r="D85" s="131">
        <f>+$C$85+1</f>
        <v>1</v>
      </c>
      <c r="E85" s="92">
        <f>IFERROR(VLOOKUP($D$85,$D$88:$E$156,2),0)</f>
        <v>0</v>
      </c>
      <c r="F85" s="184" t="str">
        <f>IF(AND($D$15="Yes",$I$82="Not Payable"),"Not Payable",IF(AND($D$15="Yes",$I$82&lt;&gt;"Not Payable"),$I$82*$E$85*12,0))</f>
        <v>Not Payable</v>
      </c>
      <c r="G85" s="184"/>
      <c r="H85" s="170" t="str">
        <f>IF(AND(ISBLANK($D$21),ISBLANK($D$23),$D$82="Not Payable"),"Not Payable",IF(AND(ISBLANK($D$21),ISBLANK($D$23),$D$82&lt;&gt;"Not Payable"),$D$82-$I$82,IF(OR(ISBLANK($D$21),ISBLANK($D$23)),"Entry Pending",$D$23)))</f>
        <v>Not Payable</v>
      </c>
      <c r="I85" s="17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6.5" hidden="1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6.5" hidden="1" thickBot="1" x14ac:dyDescent="0.3">
      <c r="A87" s="1"/>
      <c r="B87" s="1"/>
      <c r="C87" s="1"/>
      <c r="D87" s="73" t="s">
        <v>84</v>
      </c>
      <c r="E87" s="74" t="s">
        <v>85</v>
      </c>
      <c r="F87" s="1"/>
      <c r="G87" s="1"/>
      <c r="H87" s="168" t="s">
        <v>111</v>
      </c>
      <c r="I87" s="169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5.75" hidden="1" x14ac:dyDescent="0.25">
      <c r="A88" s="1"/>
      <c r="B88" s="1"/>
      <c r="C88" s="1"/>
      <c r="D88" s="75">
        <v>17</v>
      </c>
      <c r="E88" s="76">
        <v>19.28</v>
      </c>
      <c r="F88" s="1"/>
      <c r="G88" s="1"/>
      <c r="H88" s="166">
        <f>IF(ISBLANK($D$11),0,IF($D$11&lt;DATEVALUE("1/11/1993"),"A",IF($D$11&lt;DATEVALUE("1/8/1997"),"B",IF($D$11&lt;DATEVALUE("1/8/2002"),"C",IF($D$11&lt;DATEVALUE("1/8/2007"),"D",IF($D$11&lt;DATEVALUE("1/8/2012"),"E","F"))))))</f>
        <v>0</v>
      </c>
      <c r="I88" s="167">
        <f t="shared" ref="I88" si="3">IF(ISBLANK($D$9),0,IF($D$9&lt;DATEVALUE("1/11/1993"),"A",IF($D$9&lt;DATEVALUE("1/8/1997"),"B",IF($D$9&lt;DATEVALUE("1/8/2002"),"C",IF($D$9&lt;DATEVALUE("1/8/2007"),"D",IF($D$9&lt;DATEVALUE("1/8/2012"),"E","F"))))))</f>
        <v>0</v>
      </c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5.75" hidden="1" x14ac:dyDescent="0.25">
      <c r="A89" s="1"/>
      <c r="B89" s="1"/>
      <c r="C89" s="1"/>
      <c r="D89" s="75">
        <v>18</v>
      </c>
      <c r="E89" s="76">
        <v>19.2</v>
      </c>
      <c r="F89" s="1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5.75" hidden="1" x14ac:dyDescent="0.25">
      <c r="A90" s="1"/>
      <c r="B90" s="1"/>
      <c r="C90" s="1"/>
      <c r="D90" s="75">
        <v>19</v>
      </c>
      <c r="E90" s="76">
        <v>19.11</v>
      </c>
      <c r="F90" s="1"/>
      <c r="G90" s="1"/>
      <c r="H90" s="168" t="s">
        <v>112</v>
      </c>
      <c r="I90" s="169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5.75" hidden="1" x14ac:dyDescent="0.25">
      <c r="A91" s="1"/>
      <c r="B91" s="1"/>
      <c r="C91" s="1"/>
      <c r="D91" s="75">
        <v>20</v>
      </c>
      <c r="E91" s="76">
        <v>19.010000000000002</v>
      </c>
      <c r="F91" s="1"/>
      <c r="G91" s="1"/>
      <c r="H91" s="225">
        <v>38707</v>
      </c>
      <c r="I91" s="226">
        <f t="shared" ref="I91" si="4">IF(ISBLANK($D$9),0,IF($D$9&lt;DATEVALUE("1/11/1993"),"A",IF($D$9&lt;DATEVALUE("1/8/1997"),"B",IF($D$9&lt;DATEVALUE("1/8/2002"),"C",IF($D$9&lt;DATEVALUE("1/8/2007"),"D",IF($D$9&lt;DATEVALUE("1/8/2012"),"E","F"))))))</f>
        <v>0</v>
      </c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5.75" hidden="1" x14ac:dyDescent="0.25">
      <c r="A92" s="1"/>
      <c r="B92" s="1"/>
      <c r="C92" s="1"/>
      <c r="D92" s="75">
        <v>21</v>
      </c>
      <c r="E92" s="76">
        <v>18.91</v>
      </c>
      <c r="F92" s="1"/>
      <c r="G92" s="1"/>
      <c r="H92" s="97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5.75" hidden="1" x14ac:dyDescent="0.25">
      <c r="A93" s="1"/>
      <c r="B93" s="1"/>
      <c r="C93" s="1"/>
      <c r="D93" s="75">
        <v>22</v>
      </c>
      <c r="E93" s="76">
        <v>18.809999999999999</v>
      </c>
      <c r="F93" s="1"/>
      <c r="G93" s="1"/>
      <c r="H93" s="97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5.75" hidden="1" x14ac:dyDescent="0.25">
      <c r="A94" s="1"/>
      <c r="B94" s="1"/>
      <c r="C94" s="1"/>
      <c r="D94" s="75">
        <v>23</v>
      </c>
      <c r="E94" s="76">
        <v>18.7</v>
      </c>
      <c r="F94" s="1"/>
      <c r="G94" s="1"/>
      <c r="H94" s="97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5.75" hidden="1" x14ac:dyDescent="0.25">
      <c r="A95" s="1"/>
      <c r="B95" s="1"/>
      <c r="C95" s="1"/>
      <c r="D95" s="75">
        <v>24</v>
      </c>
      <c r="E95" s="76">
        <v>18.59</v>
      </c>
      <c r="F95" s="1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5.75" hidden="1" x14ac:dyDescent="0.25">
      <c r="A96" s="1"/>
      <c r="B96" s="1"/>
      <c r="C96" s="1"/>
      <c r="D96" s="75">
        <v>25</v>
      </c>
      <c r="E96" s="76">
        <v>18.47</v>
      </c>
      <c r="F96" s="1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5.75" hidden="1" x14ac:dyDescent="0.25">
      <c r="A97" s="1"/>
      <c r="B97" s="1"/>
      <c r="C97" s="1"/>
      <c r="D97" s="75">
        <v>26</v>
      </c>
      <c r="E97" s="76">
        <v>18.34</v>
      </c>
      <c r="F97" s="1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5.75" hidden="1" x14ac:dyDescent="0.25">
      <c r="A98" s="1"/>
      <c r="B98" s="1"/>
      <c r="C98" s="1"/>
      <c r="D98" s="75">
        <v>27</v>
      </c>
      <c r="E98" s="76">
        <v>18.21</v>
      </c>
      <c r="F98" s="1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5.75" hidden="1" x14ac:dyDescent="0.25">
      <c r="A99" s="1"/>
      <c r="B99" s="1"/>
      <c r="C99" s="1"/>
      <c r="D99" s="75">
        <v>28</v>
      </c>
      <c r="E99" s="76">
        <v>18.07</v>
      </c>
      <c r="F99" s="1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5.75" hidden="1" x14ac:dyDescent="0.25">
      <c r="A100" s="1"/>
      <c r="B100" s="1"/>
      <c r="C100" s="1"/>
      <c r="D100" s="75">
        <v>29</v>
      </c>
      <c r="E100" s="76">
        <v>17.93</v>
      </c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5.75" hidden="1" x14ac:dyDescent="0.25">
      <c r="A101" s="1"/>
      <c r="B101" s="1"/>
      <c r="C101" s="1"/>
      <c r="D101" s="75">
        <v>30</v>
      </c>
      <c r="E101" s="76">
        <v>17.78</v>
      </c>
      <c r="F101" s="1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5.75" hidden="1" x14ac:dyDescent="0.25">
      <c r="A102" s="1"/>
      <c r="B102" s="1"/>
      <c r="C102" s="1"/>
      <c r="D102" s="75">
        <v>31</v>
      </c>
      <c r="E102" s="76">
        <v>17.62</v>
      </c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5.75" hidden="1" x14ac:dyDescent="0.25">
      <c r="A103" s="1"/>
      <c r="B103" s="1"/>
      <c r="C103" s="1"/>
      <c r="D103" s="75">
        <v>32</v>
      </c>
      <c r="E103" s="76">
        <v>17.46</v>
      </c>
      <c r="F103" s="1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5.75" hidden="1" x14ac:dyDescent="0.25">
      <c r="A104" s="1"/>
      <c r="B104" s="1"/>
      <c r="C104" s="1"/>
      <c r="D104" s="75">
        <v>33</v>
      </c>
      <c r="E104" s="76">
        <v>17.29</v>
      </c>
      <c r="F104" s="1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5.75" hidden="1" x14ac:dyDescent="0.25">
      <c r="A105" s="1"/>
      <c r="B105" s="1"/>
      <c r="C105" s="1"/>
      <c r="D105" s="75">
        <v>34</v>
      </c>
      <c r="E105" s="76">
        <v>17.11</v>
      </c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5.75" hidden="1" x14ac:dyDescent="0.25">
      <c r="A106" s="1"/>
      <c r="B106" s="1"/>
      <c r="C106" s="1"/>
      <c r="D106" s="75">
        <v>35</v>
      </c>
      <c r="E106" s="76">
        <v>16.920000000000002</v>
      </c>
      <c r="F106" s="1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5.75" hidden="1" x14ac:dyDescent="0.25">
      <c r="A107" s="1"/>
      <c r="B107" s="1"/>
      <c r="C107" s="1"/>
      <c r="D107" s="75">
        <v>36</v>
      </c>
      <c r="E107" s="76">
        <v>16.72</v>
      </c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5.75" hidden="1" x14ac:dyDescent="0.25">
      <c r="A108" s="1"/>
      <c r="B108" s="1"/>
      <c r="C108" s="1"/>
      <c r="D108" s="75">
        <v>37</v>
      </c>
      <c r="E108" s="76">
        <v>16.52</v>
      </c>
      <c r="F108" s="1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5.75" hidden="1" x14ac:dyDescent="0.25">
      <c r="A109" s="1"/>
      <c r="B109" s="1"/>
      <c r="C109" s="1"/>
      <c r="D109" s="75">
        <v>38</v>
      </c>
      <c r="E109" s="76">
        <v>16.309999999999999</v>
      </c>
      <c r="F109" s="1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5.75" hidden="1" x14ac:dyDescent="0.25">
      <c r="A110" s="1"/>
      <c r="B110" s="1"/>
      <c r="C110" s="1"/>
      <c r="D110" s="75">
        <v>39</v>
      </c>
      <c r="E110" s="76">
        <v>16.09</v>
      </c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5.75" hidden="1" x14ac:dyDescent="0.25">
      <c r="A111" s="1"/>
      <c r="B111" s="1"/>
      <c r="C111" s="1"/>
      <c r="D111" s="75">
        <v>40</v>
      </c>
      <c r="E111" s="76">
        <v>15.87</v>
      </c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5.75" hidden="1" x14ac:dyDescent="0.25">
      <c r="A112" s="1"/>
      <c r="B112" s="1"/>
      <c r="C112" s="1"/>
      <c r="D112" s="75">
        <v>41</v>
      </c>
      <c r="E112" s="76">
        <v>15.64</v>
      </c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5.75" hidden="1" x14ac:dyDescent="0.25">
      <c r="A113" s="1"/>
      <c r="B113" s="1"/>
      <c r="C113" s="1"/>
      <c r="D113" s="75">
        <v>42</v>
      </c>
      <c r="E113" s="76">
        <v>15.4</v>
      </c>
      <c r="F113" s="1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5.75" hidden="1" x14ac:dyDescent="0.25">
      <c r="A114" s="1"/>
      <c r="B114" s="1"/>
      <c r="C114" s="1"/>
      <c r="D114" s="75">
        <v>43</v>
      </c>
      <c r="E114" s="76">
        <v>15.15</v>
      </c>
      <c r="F114" s="1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5.75" hidden="1" x14ac:dyDescent="0.25">
      <c r="A115" s="1"/>
      <c r="B115" s="1"/>
      <c r="C115" s="1"/>
      <c r="D115" s="75">
        <v>44</v>
      </c>
      <c r="E115" s="76">
        <v>14.9</v>
      </c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5.75" hidden="1" x14ac:dyDescent="0.25">
      <c r="A116" s="1"/>
      <c r="B116" s="1"/>
      <c r="C116" s="1"/>
      <c r="D116" s="75">
        <v>45</v>
      </c>
      <c r="E116" s="76">
        <v>14.64</v>
      </c>
      <c r="F116" s="1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5.75" hidden="1" x14ac:dyDescent="0.25">
      <c r="A117" s="1"/>
      <c r="B117" s="1"/>
      <c r="C117" s="1"/>
      <c r="D117" s="75">
        <v>46</v>
      </c>
      <c r="E117" s="76">
        <v>14.37</v>
      </c>
      <c r="F117" s="1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5.75" hidden="1" x14ac:dyDescent="0.25">
      <c r="A118" s="1"/>
      <c r="B118" s="1"/>
      <c r="C118" s="1"/>
      <c r="D118" s="75">
        <v>47</v>
      </c>
      <c r="E118" s="76">
        <v>14.1</v>
      </c>
      <c r="F118" s="1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5.75" hidden="1" x14ac:dyDescent="0.25">
      <c r="A119" s="1"/>
      <c r="B119" s="1"/>
      <c r="C119" s="1"/>
      <c r="D119" s="75">
        <v>48</v>
      </c>
      <c r="E119" s="76">
        <v>13.82</v>
      </c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5.75" hidden="1" x14ac:dyDescent="0.25">
      <c r="A120" s="1"/>
      <c r="B120" s="1"/>
      <c r="C120" s="1"/>
      <c r="D120" s="75">
        <v>49</v>
      </c>
      <c r="E120" s="76">
        <v>13.54</v>
      </c>
      <c r="F120" s="1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5.75" hidden="1" x14ac:dyDescent="0.25">
      <c r="A121" s="1"/>
      <c r="B121" s="1"/>
      <c r="C121" s="1"/>
      <c r="D121" s="75">
        <v>50</v>
      </c>
      <c r="E121" s="76">
        <v>13.25</v>
      </c>
      <c r="F121" s="1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5.75" hidden="1" x14ac:dyDescent="0.25">
      <c r="A122" s="1"/>
      <c r="B122" s="1"/>
      <c r="C122" s="1"/>
      <c r="D122" s="75">
        <v>51</v>
      </c>
      <c r="E122" s="76">
        <v>12.95</v>
      </c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5.75" hidden="1" x14ac:dyDescent="0.25">
      <c r="A123" s="1"/>
      <c r="B123" s="1"/>
      <c r="C123" s="1"/>
      <c r="D123" s="75">
        <v>52</v>
      </c>
      <c r="E123" s="76">
        <v>12.66</v>
      </c>
      <c r="F123" s="1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5.75" hidden="1" x14ac:dyDescent="0.25">
      <c r="A124" s="1"/>
      <c r="B124" s="1"/>
      <c r="C124" s="1"/>
      <c r="D124" s="75">
        <v>53</v>
      </c>
      <c r="E124" s="76">
        <v>12.35</v>
      </c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5.75" hidden="1" x14ac:dyDescent="0.25">
      <c r="A125" s="1"/>
      <c r="B125" s="1"/>
      <c r="C125" s="1"/>
      <c r="D125" s="75">
        <v>54</v>
      </c>
      <c r="E125" s="76">
        <v>12.05</v>
      </c>
      <c r="F125" s="1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5.75" hidden="1" x14ac:dyDescent="0.25">
      <c r="A126" s="1"/>
      <c r="B126" s="1"/>
      <c r="C126" s="1"/>
      <c r="D126" s="75">
        <v>55</v>
      </c>
      <c r="E126" s="76">
        <v>11.73</v>
      </c>
      <c r="F126" s="1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5.75" hidden="1" x14ac:dyDescent="0.25">
      <c r="A127" s="1"/>
      <c r="B127" s="1"/>
      <c r="C127" s="1"/>
      <c r="D127" s="75">
        <v>56</v>
      </c>
      <c r="E127" s="76">
        <v>11.42</v>
      </c>
      <c r="F127" s="1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5.75" hidden="1" x14ac:dyDescent="0.25">
      <c r="A128" s="1"/>
      <c r="B128" s="1"/>
      <c r="C128" s="1"/>
      <c r="D128" s="75">
        <v>57</v>
      </c>
      <c r="E128" s="76">
        <v>11.1</v>
      </c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5.75" hidden="1" x14ac:dyDescent="0.25">
      <c r="A129" s="1"/>
      <c r="B129" s="1"/>
      <c r="C129" s="1"/>
      <c r="D129" s="75">
        <v>58</v>
      </c>
      <c r="E129" s="76">
        <v>10.78</v>
      </c>
      <c r="F129" s="1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5.75" hidden="1" x14ac:dyDescent="0.25">
      <c r="A130" s="1"/>
      <c r="B130" s="1"/>
      <c r="C130" s="1"/>
      <c r="D130" s="75">
        <v>59</v>
      </c>
      <c r="E130" s="76">
        <v>10.46</v>
      </c>
      <c r="F130" s="1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5.75" hidden="1" x14ac:dyDescent="0.25">
      <c r="A131" s="1"/>
      <c r="B131" s="1"/>
      <c r="C131" s="1"/>
      <c r="D131" s="75">
        <v>60</v>
      </c>
      <c r="E131" s="76">
        <v>10.130000000000001</v>
      </c>
      <c r="F131" s="1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5.75" hidden="1" x14ac:dyDescent="0.25">
      <c r="A132" s="1"/>
      <c r="B132" s="1"/>
      <c r="C132" s="1"/>
      <c r="D132" s="75">
        <v>61</v>
      </c>
      <c r="E132" s="76">
        <v>9.81</v>
      </c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5.75" hidden="1" x14ac:dyDescent="0.25">
      <c r="A133" s="1"/>
      <c r="B133" s="1"/>
      <c r="C133" s="1"/>
      <c r="D133" s="75">
        <v>62</v>
      </c>
      <c r="E133" s="76">
        <v>9.48</v>
      </c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5.75" hidden="1" x14ac:dyDescent="0.25">
      <c r="A134" s="1"/>
      <c r="B134" s="1"/>
      <c r="C134" s="1"/>
      <c r="D134" s="75">
        <v>63</v>
      </c>
      <c r="E134" s="76">
        <v>9.15</v>
      </c>
      <c r="F134" s="1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5.75" hidden="1" x14ac:dyDescent="0.25">
      <c r="A135" s="1"/>
      <c r="B135" s="1"/>
      <c r="C135" s="1"/>
      <c r="D135" s="75">
        <v>64</v>
      </c>
      <c r="E135" s="76">
        <v>8.82</v>
      </c>
      <c r="F135" s="1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5.75" hidden="1" x14ac:dyDescent="0.25">
      <c r="A136" s="1"/>
      <c r="B136" s="1"/>
      <c r="C136" s="1"/>
      <c r="D136" s="75">
        <v>65</v>
      </c>
      <c r="E136" s="76">
        <v>8.5</v>
      </c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5.75" hidden="1" x14ac:dyDescent="0.25">
      <c r="A137" s="1"/>
      <c r="B137" s="1"/>
      <c r="C137" s="1"/>
      <c r="D137" s="75">
        <v>66</v>
      </c>
      <c r="E137" s="76">
        <v>8.17</v>
      </c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5.75" hidden="1" x14ac:dyDescent="0.25">
      <c r="A138" s="1"/>
      <c r="B138" s="1"/>
      <c r="C138" s="1"/>
      <c r="D138" s="75">
        <v>67</v>
      </c>
      <c r="E138" s="76">
        <v>7.85</v>
      </c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5.75" hidden="1" x14ac:dyDescent="0.25">
      <c r="A139" s="1"/>
      <c r="B139" s="1"/>
      <c r="C139" s="1"/>
      <c r="D139" s="75">
        <v>68</v>
      </c>
      <c r="E139" s="76">
        <v>7.53</v>
      </c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5.75" hidden="1" x14ac:dyDescent="0.25">
      <c r="A140" s="1"/>
      <c r="B140" s="1"/>
      <c r="C140" s="1"/>
      <c r="D140" s="75">
        <v>69</v>
      </c>
      <c r="E140" s="76">
        <v>7.22</v>
      </c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5.75" hidden="1" x14ac:dyDescent="0.25">
      <c r="A141" s="1"/>
      <c r="B141" s="1"/>
      <c r="C141" s="1"/>
      <c r="D141" s="75">
        <v>70</v>
      </c>
      <c r="E141" s="76">
        <v>6.91</v>
      </c>
      <c r="F141" s="1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5.75" hidden="1" x14ac:dyDescent="0.25">
      <c r="A142" s="1"/>
      <c r="B142" s="1"/>
      <c r="C142" s="1"/>
      <c r="D142" s="75">
        <v>71</v>
      </c>
      <c r="E142" s="76">
        <v>6.6</v>
      </c>
      <c r="F142" s="1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5.75" hidden="1" x14ac:dyDescent="0.25">
      <c r="A143" s="1"/>
      <c r="B143" s="1"/>
      <c r="C143" s="1"/>
      <c r="D143" s="75">
        <v>72</v>
      </c>
      <c r="E143" s="76">
        <v>6.3</v>
      </c>
      <c r="F143" s="1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5.75" hidden="1" x14ac:dyDescent="0.25">
      <c r="A144" s="1"/>
      <c r="B144" s="1"/>
      <c r="C144" s="1"/>
      <c r="D144" s="75">
        <v>73</v>
      </c>
      <c r="E144" s="76">
        <v>6.01</v>
      </c>
      <c r="F144" s="1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5.75" hidden="1" x14ac:dyDescent="0.25">
      <c r="A145" s="1"/>
      <c r="B145" s="1"/>
      <c r="C145" s="1"/>
      <c r="D145" s="75">
        <v>74</v>
      </c>
      <c r="E145" s="76">
        <v>5.72</v>
      </c>
      <c r="F145" s="1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5.75" hidden="1" x14ac:dyDescent="0.25">
      <c r="A146" s="1"/>
      <c r="B146" s="1"/>
      <c r="C146" s="1"/>
      <c r="D146" s="75">
        <v>75</v>
      </c>
      <c r="E146" s="76">
        <v>5.44</v>
      </c>
      <c r="F146" s="1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5.75" hidden="1" x14ac:dyDescent="0.25">
      <c r="A147" s="1"/>
      <c r="B147" s="1"/>
      <c r="C147" s="1"/>
      <c r="D147" s="75">
        <v>76</v>
      </c>
      <c r="E147" s="76">
        <v>5.17</v>
      </c>
      <c r="F147" s="1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5.75" hidden="1" x14ac:dyDescent="0.25">
      <c r="A148" s="1"/>
      <c r="B148" s="1"/>
      <c r="C148" s="1"/>
      <c r="D148" s="75">
        <v>77</v>
      </c>
      <c r="E148" s="76">
        <v>4.9000000000000004</v>
      </c>
      <c r="F148" s="1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5.75" hidden="1" x14ac:dyDescent="0.25">
      <c r="A149" s="1"/>
      <c r="B149" s="1"/>
      <c r="C149" s="1"/>
      <c r="D149" s="75">
        <v>78</v>
      </c>
      <c r="E149" s="76">
        <v>4.6500000000000004</v>
      </c>
      <c r="F149" s="1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5.75" hidden="1" x14ac:dyDescent="0.25">
      <c r="A150" s="1"/>
      <c r="B150" s="1"/>
      <c r="C150" s="1"/>
      <c r="D150" s="75">
        <v>79</v>
      </c>
      <c r="E150" s="76">
        <v>4.4000000000000004</v>
      </c>
      <c r="F150" s="1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5.75" hidden="1" x14ac:dyDescent="0.25">
      <c r="A151" s="1"/>
      <c r="B151" s="1"/>
      <c r="C151" s="1"/>
      <c r="D151" s="75">
        <v>80</v>
      </c>
      <c r="E151" s="76">
        <v>4.17</v>
      </c>
      <c r="F151" s="1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5.75" hidden="1" x14ac:dyDescent="0.25">
      <c r="A152" s="1"/>
      <c r="B152" s="1"/>
      <c r="C152" s="1"/>
      <c r="D152" s="75">
        <v>81</v>
      </c>
      <c r="E152" s="76">
        <v>3.94</v>
      </c>
      <c r="F152" s="1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5.75" hidden="1" x14ac:dyDescent="0.25">
      <c r="A153" s="1"/>
      <c r="B153" s="1"/>
      <c r="C153" s="1"/>
      <c r="D153" s="75">
        <v>82</v>
      </c>
      <c r="E153" s="76">
        <v>3.72</v>
      </c>
      <c r="F153" s="1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5.75" hidden="1" x14ac:dyDescent="0.25">
      <c r="A154" s="1"/>
      <c r="B154" s="1"/>
      <c r="C154" s="1"/>
      <c r="D154" s="75">
        <v>83</v>
      </c>
      <c r="E154" s="76">
        <v>3.52</v>
      </c>
      <c r="F154" s="1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5.75" hidden="1" x14ac:dyDescent="0.25">
      <c r="A155" s="1"/>
      <c r="B155" s="1"/>
      <c r="C155" s="1"/>
      <c r="D155" s="75">
        <v>84</v>
      </c>
      <c r="E155" s="76">
        <v>3.32</v>
      </c>
      <c r="F155" s="1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6.5" hidden="1" thickBot="1" x14ac:dyDescent="0.3">
      <c r="A156" s="1"/>
      <c r="B156" s="1"/>
      <c r="C156" s="1"/>
      <c r="D156" s="77">
        <v>85</v>
      </c>
      <c r="E156" s="78">
        <v>3.13</v>
      </c>
      <c r="F156" s="1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5.75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5.75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5.75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5.75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5.75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5.75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5.75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5.75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5.75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5.75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5.75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5.75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5.75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5.75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5.75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5.75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5.75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5.75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5.75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</sheetData>
  <sheetProtection password="C7AA" sheet="1" objects="1" scenarios="1"/>
  <mergeCells count="95">
    <mergeCell ref="G57:H57"/>
    <mergeCell ref="I74:J74"/>
    <mergeCell ref="I75:J75"/>
    <mergeCell ref="B72:G72"/>
    <mergeCell ref="B74:C74"/>
    <mergeCell ref="B75:C75"/>
    <mergeCell ref="F74:G74"/>
    <mergeCell ref="F75:G75"/>
    <mergeCell ref="J62:K62"/>
    <mergeCell ref="J61:K61"/>
    <mergeCell ref="H91:I91"/>
    <mergeCell ref="D66:E66"/>
    <mergeCell ref="F66:G66"/>
    <mergeCell ref="A46:J46"/>
    <mergeCell ref="G26:J26"/>
    <mergeCell ref="B52:E52"/>
    <mergeCell ref="G52:J52"/>
    <mergeCell ref="G48:J48"/>
    <mergeCell ref="B59:H59"/>
    <mergeCell ref="B54:E54"/>
    <mergeCell ref="G54:J54"/>
    <mergeCell ref="B48:E48"/>
    <mergeCell ref="B67:C67"/>
    <mergeCell ref="B66:C66"/>
    <mergeCell ref="B64:G64"/>
    <mergeCell ref="B70:C70"/>
    <mergeCell ref="D11:E11"/>
    <mergeCell ref="G11:H11"/>
    <mergeCell ref="A15:C15"/>
    <mergeCell ref="D15:E15"/>
    <mergeCell ref="G15:H15"/>
    <mergeCell ref="H27:I27"/>
    <mergeCell ref="A13:C13"/>
    <mergeCell ref="D13:E13"/>
    <mergeCell ref="G13:H13"/>
    <mergeCell ref="I13:J13"/>
    <mergeCell ref="I15:J15"/>
    <mergeCell ref="D21:E21"/>
    <mergeCell ref="G21:H21"/>
    <mergeCell ref="I21:J21"/>
    <mergeCell ref="A17:C17"/>
    <mergeCell ref="D17:E17"/>
    <mergeCell ref="G17:H17"/>
    <mergeCell ref="I17:J17"/>
    <mergeCell ref="A19:C19"/>
    <mergeCell ref="D19:E19"/>
    <mergeCell ref="G19:H19"/>
    <mergeCell ref="I19:J19"/>
    <mergeCell ref="L5:M5"/>
    <mergeCell ref="A7:C7"/>
    <mergeCell ref="D7:E7"/>
    <mergeCell ref="G7:H7"/>
    <mergeCell ref="I7:J7"/>
    <mergeCell ref="F5:I5"/>
    <mergeCell ref="I9:J9"/>
    <mergeCell ref="L9:M9"/>
    <mergeCell ref="I11:J11"/>
    <mergeCell ref="L11:M11"/>
    <mergeCell ref="A9:C9"/>
    <mergeCell ref="D9:E9"/>
    <mergeCell ref="G9:H9"/>
    <mergeCell ref="A5:D5"/>
    <mergeCell ref="A11:C11"/>
    <mergeCell ref="A1:J1"/>
    <mergeCell ref="L2:M2"/>
    <mergeCell ref="A3:D3"/>
    <mergeCell ref="A4:D4"/>
    <mergeCell ref="L4:M4"/>
    <mergeCell ref="A21:C21"/>
    <mergeCell ref="A23:C23"/>
    <mergeCell ref="D23:E23"/>
    <mergeCell ref="F84:G84"/>
    <mergeCell ref="F85:G85"/>
    <mergeCell ref="D70:E70"/>
    <mergeCell ref="F68:G68"/>
    <mergeCell ref="F69:G69"/>
    <mergeCell ref="F70:G70"/>
    <mergeCell ref="D67:E67"/>
    <mergeCell ref="F67:G67"/>
    <mergeCell ref="F79:G79"/>
    <mergeCell ref="D79:E79"/>
    <mergeCell ref="B77:G77"/>
    <mergeCell ref="B79:C79"/>
    <mergeCell ref="G56:H56"/>
    <mergeCell ref="E81:F81"/>
    <mergeCell ref="E82:F82"/>
    <mergeCell ref="G81:H81"/>
    <mergeCell ref="G82:H82"/>
    <mergeCell ref="I82:J82"/>
    <mergeCell ref="I81:J81"/>
    <mergeCell ref="H88:I88"/>
    <mergeCell ref="H87:I87"/>
    <mergeCell ref="H90:I90"/>
    <mergeCell ref="H84:I84"/>
    <mergeCell ref="H85:I85"/>
  </mergeCells>
  <pageMargins left="0.7" right="0.7" top="0.75" bottom="0.75" header="0.3" footer="0.3"/>
  <pageSetup paperSize="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9"/>
  <sheetViews>
    <sheetView showZeros="0" zoomScale="95" zoomScaleNormal="95" workbookViewId="0">
      <pane xSplit="10" ySplit="6" topLeftCell="L7" activePane="bottomRight" state="frozen"/>
      <selection pane="topRight" activeCell="K1" sqref="K1"/>
      <selection pane="bottomLeft" activeCell="A7" sqref="A7"/>
      <selection pane="bottomRight" activeCell="E14" sqref="E14"/>
    </sheetView>
  </sheetViews>
  <sheetFormatPr defaultRowHeight="15" x14ac:dyDescent="0.25"/>
  <cols>
    <col min="1" max="4" width="20.7109375" style="4" customWidth="1"/>
    <col min="5" max="10" width="15.7109375" style="4" customWidth="1"/>
    <col min="11" max="11" width="1.7109375" style="4" hidden="1" customWidth="1"/>
    <col min="12" max="12" width="1.7109375" style="4" customWidth="1"/>
    <col min="13" max="16384" width="9.140625" style="4"/>
  </cols>
  <sheetData>
    <row r="1" spans="1:52" ht="21" thickBot="1" x14ac:dyDescent="0.35">
      <c r="A1" s="198" t="s">
        <v>192</v>
      </c>
      <c r="B1" s="199"/>
      <c r="C1" s="199"/>
      <c r="D1" s="199"/>
      <c r="E1" s="199"/>
      <c r="F1" s="199"/>
      <c r="G1" s="199"/>
      <c r="H1" s="199"/>
      <c r="I1" s="199"/>
      <c r="J1" s="20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5.75" x14ac:dyDescent="0.25">
      <c r="A3" s="203" t="s">
        <v>30</v>
      </c>
      <c r="B3" s="204"/>
      <c r="C3" s="204"/>
      <c r="D3" s="205"/>
      <c r="E3" s="38" t="s">
        <v>11</v>
      </c>
      <c r="F3" s="38" t="s">
        <v>12</v>
      </c>
      <c r="G3" s="38" t="s">
        <v>3</v>
      </c>
      <c r="H3" s="38" t="s">
        <v>4</v>
      </c>
      <c r="I3" s="38" t="s">
        <v>5</v>
      </c>
      <c r="J3" s="38" t="s">
        <v>6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6.5" thickBot="1" x14ac:dyDescent="0.3">
      <c r="A4" s="206" t="s">
        <v>31</v>
      </c>
      <c r="B4" s="207"/>
      <c r="C4" s="207"/>
      <c r="D4" s="208"/>
      <c r="E4" s="39" t="s">
        <v>14</v>
      </c>
      <c r="F4" s="40" t="s">
        <v>13</v>
      </c>
      <c r="G4" s="39" t="s">
        <v>7</v>
      </c>
      <c r="H4" s="40" t="s">
        <v>8</v>
      </c>
      <c r="I4" s="40" t="s">
        <v>9</v>
      </c>
      <c r="J4" s="4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28.5" thickBot="1" x14ac:dyDescent="0.45">
      <c r="A5" s="217" t="s">
        <v>109</v>
      </c>
      <c r="B5" s="218"/>
      <c r="C5" s="218"/>
      <c r="D5" s="218"/>
      <c r="E5" s="93">
        <f>IF(AND($J$5="Yes",$D$11&gt;0,$D$11&lt;=$D$13),'(1) Pension'!$E$5,IF(AND($J$5="Yes",$D$11&gt;0,$D$13&lt;$D$11),$I$52,IF(AND($J$5="Yes",$D$11=0,NOT(ISBLANK($D$13))),$I$52,0)))</f>
        <v>0</v>
      </c>
      <c r="F5" s="272" t="s">
        <v>117</v>
      </c>
      <c r="G5" s="272"/>
      <c r="H5" s="272"/>
      <c r="I5" s="272"/>
      <c r="J5" s="9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20.100000000000001" customHeight="1" thickBot="1" x14ac:dyDescent="0.3">
      <c r="A7" s="270" t="s">
        <v>114</v>
      </c>
      <c r="B7" s="271"/>
      <c r="C7" s="271"/>
      <c r="D7" s="213">
        <f>IF($J$5="Yes",'(1) Pension'!$D$7,0)</f>
        <v>0</v>
      </c>
      <c r="E7" s="214"/>
      <c r="F7" s="1"/>
      <c r="G7" s="270" t="s">
        <v>126</v>
      </c>
      <c r="H7" s="271"/>
      <c r="I7" s="209" t="str">
        <f>+$A$46 &amp;" Years"</f>
        <v>0 Years</v>
      </c>
      <c r="J7" s="210"/>
      <c r="K7" s="2"/>
      <c r="L7" s="2"/>
      <c r="M7" s="216" t="str">
        <f>$B$46 &amp;" Months"</f>
        <v>0 Months</v>
      </c>
      <c r="N7" s="21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20.100000000000001" customHeight="1" thickBot="1" x14ac:dyDescent="0.3">
      <c r="A8" s="41"/>
      <c r="B8" s="41"/>
      <c r="C8" s="41"/>
      <c r="D8" s="1"/>
      <c r="E8" s="1"/>
      <c r="F8" s="1"/>
      <c r="G8" s="41"/>
      <c r="H8" s="4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20.100000000000001" customHeight="1" thickBot="1" x14ac:dyDescent="0.3">
      <c r="A9" s="270" t="s">
        <v>116</v>
      </c>
      <c r="B9" s="271"/>
      <c r="C9" s="271"/>
      <c r="D9" s="213">
        <f>IF($J$5="Yes",'(1) Pension'!$D$9,0)</f>
        <v>0</v>
      </c>
      <c r="E9" s="214"/>
      <c r="F9" s="1"/>
      <c r="G9" s="270" t="s">
        <v>89</v>
      </c>
      <c r="H9" s="271"/>
      <c r="I9" s="209" t="str">
        <f>+$F$46&amp;" Days"</f>
        <v>0 Days</v>
      </c>
      <c r="J9" s="21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20.100000000000001" customHeight="1" thickBot="1" x14ac:dyDescent="0.3">
      <c r="A10" s="41"/>
      <c r="B10" s="41"/>
      <c r="C10" s="41"/>
      <c r="D10" s="1"/>
      <c r="E10" s="1"/>
      <c r="F10" s="1"/>
      <c r="G10" s="41"/>
      <c r="H10" s="4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20.100000000000001" customHeight="1" thickBot="1" x14ac:dyDescent="0.3">
      <c r="A11" s="270" t="s">
        <v>115</v>
      </c>
      <c r="B11" s="271"/>
      <c r="C11" s="271"/>
      <c r="D11" s="213">
        <f>IF($J$5="Yes",'(1) Pension'!$D$11,0)</f>
        <v>0</v>
      </c>
      <c r="E11" s="214"/>
      <c r="F11" s="1"/>
      <c r="G11" s="270" t="s">
        <v>127</v>
      </c>
      <c r="H11" s="271"/>
      <c r="I11" s="209" t="str">
        <f>+$B$52 &amp;" Years"</f>
        <v>0 Years</v>
      </c>
      <c r="J11" s="210"/>
      <c r="K11" s="2"/>
      <c r="L11" s="2"/>
      <c r="M11" s="216" t="str">
        <f>$C$52 &amp;" Months"</f>
        <v>0 Months</v>
      </c>
      <c r="N11" s="21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20.100000000000001" customHeight="1" thickBot="1" x14ac:dyDescent="0.3">
      <c r="A12" s="41"/>
      <c r="B12" s="41"/>
      <c r="C12" s="41"/>
      <c r="D12" s="1"/>
      <c r="E12" s="1"/>
      <c r="F12" s="1"/>
      <c r="G12" s="41"/>
      <c r="H12" s="4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20.100000000000001" customHeight="1" thickBot="1" x14ac:dyDescent="0.3">
      <c r="A13" s="270" t="s">
        <v>118</v>
      </c>
      <c r="B13" s="271"/>
      <c r="C13" s="271"/>
      <c r="D13" s="211"/>
      <c r="E13" s="212"/>
      <c r="F13" s="1"/>
      <c r="G13" s="270" t="s">
        <v>122</v>
      </c>
      <c r="H13" s="271"/>
      <c r="I13" s="209">
        <f>IF(OR(D$7=0,ISBLANK($D$13)),0,DATEDIF($D$7,$D$13,"Y"))</f>
        <v>0</v>
      </c>
      <c r="J13" s="21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20.100000000000001" customHeight="1" thickBot="1" x14ac:dyDescent="0.3">
      <c r="A14" s="41"/>
      <c r="B14" s="41"/>
      <c r="C14" s="41"/>
      <c r="D14" s="1"/>
      <c r="E14" s="1"/>
      <c r="F14" s="1"/>
      <c r="G14" s="41"/>
      <c r="H14" s="4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20.100000000000001" customHeight="1" thickBot="1" x14ac:dyDescent="0.3">
      <c r="A15" s="270" t="s">
        <v>119</v>
      </c>
      <c r="B15" s="271"/>
      <c r="C15" s="271"/>
      <c r="D15" s="221"/>
      <c r="E15" s="222"/>
      <c r="F15" s="1"/>
      <c r="G15" s="270" t="s">
        <v>123</v>
      </c>
      <c r="H15" s="271"/>
      <c r="I15" s="213">
        <f>IF(OR($D$7=0,$D$9=0,ISBLANK($D$13)),0,IF($A$32="Yes",$H$32,"No"))</f>
        <v>0</v>
      </c>
      <c r="J15" s="2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20.100000000000001" customHeight="1" thickBot="1" x14ac:dyDescent="0.3">
      <c r="A16" s="1"/>
      <c r="B16" s="1"/>
      <c r="C16" s="1"/>
      <c r="D16" s="1"/>
      <c r="E16" s="1"/>
      <c r="F16" s="1"/>
      <c r="G16" s="41"/>
      <c r="H16" s="4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20.100000000000001" customHeight="1" thickBot="1" x14ac:dyDescent="0.3">
      <c r="A17" s="100" t="s">
        <v>124</v>
      </c>
      <c r="B17" s="99" t="s">
        <v>15</v>
      </c>
      <c r="C17" s="99" t="s">
        <v>68</v>
      </c>
      <c r="D17" s="99" t="s">
        <v>81</v>
      </c>
      <c r="E17" s="101" t="s">
        <v>78</v>
      </c>
      <c r="F17" s="1"/>
      <c r="G17" s="129" t="s">
        <v>32</v>
      </c>
      <c r="H17" s="130"/>
      <c r="I17" s="209">
        <f>IF(ISBLANK($D$20),$D$71,$D$20)</f>
        <v>0</v>
      </c>
      <c r="J17" s="21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20.100000000000001" customHeight="1" thickBot="1" x14ac:dyDescent="0.3">
      <c r="A18" s="102" t="s">
        <v>125</v>
      </c>
      <c r="B18" s="118"/>
      <c r="C18" s="118"/>
      <c r="D18" s="118"/>
      <c r="E18" s="119">
        <f>+B18+C18+D18</f>
        <v>0</v>
      </c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20.100000000000001" customHeight="1" thickBot="1" x14ac:dyDescent="0.3">
      <c r="A19" s="1"/>
      <c r="B19" s="1"/>
      <c r="C19" s="1"/>
      <c r="D19" s="1"/>
      <c r="E19" s="1"/>
      <c r="F19" s="1"/>
      <c r="G19" s="129" t="s">
        <v>33</v>
      </c>
      <c r="H19" s="130"/>
      <c r="I19" s="209">
        <f>IF(ISBLANK($D$22),$I$71,$D$22)</f>
        <v>0</v>
      </c>
      <c r="J19" s="2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6.5" thickBot="1" x14ac:dyDescent="0.3">
      <c r="A20" s="270" t="s">
        <v>120</v>
      </c>
      <c r="B20" s="271"/>
      <c r="C20" s="271"/>
      <c r="D20" s="181"/>
      <c r="E20" s="182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6.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6.5" thickBot="1" x14ac:dyDescent="0.3">
      <c r="A22" s="270" t="s">
        <v>121</v>
      </c>
      <c r="B22" s="271"/>
      <c r="C22" s="271"/>
      <c r="D22" s="181"/>
      <c r="E22" s="182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.75" hidden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.75" hidden="1" x14ac:dyDescent="0.25">
      <c r="A26" s="263" t="s">
        <v>29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.75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.75" hidden="1" x14ac:dyDescent="0.25">
      <c r="A28" s="196" t="s">
        <v>182</v>
      </c>
      <c r="B28" s="197"/>
      <c r="C28" s="197"/>
      <c r="D28" s="197"/>
      <c r="E28" s="1"/>
      <c r="F28" s="197" t="s">
        <v>183</v>
      </c>
      <c r="G28" s="197"/>
      <c r="H28" s="197"/>
      <c r="I28" s="238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6.5" hidden="1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.75" hidden="1" x14ac:dyDescent="0.25">
      <c r="A30" s="103" t="s">
        <v>37</v>
      </c>
      <c r="B30" s="103" t="s">
        <v>179</v>
      </c>
      <c r="C30" s="103" t="s">
        <v>180</v>
      </c>
      <c r="D30" s="124" t="s">
        <v>181</v>
      </c>
      <c r="E30" s="1"/>
      <c r="F30" s="266" t="s">
        <v>128</v>
      </c>
      <c r="G30" s="267"/>
      <c r="H30" s="268" t="s">
        <v>36</v>
      </c>
      <c r="I30" s="269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.75" hidden="1" x14ac:dyDescent="0.25">
      <c r="A31" s="120">
        <f>+$D$9</f>
        <v>0</v>
      </c>
      <c r="B31" s="120">
        <f>DATE(YEAR($D$9)+6,MONTH($D$9)+6,DAY($D$9))</f>
        <v>2373</v>
      </c>
      <c r="C31" s="122">
        <f>IF($D$11=0,$D$13,MIN($D$11,$D$13))</f>
        <v>0</v>
      </c>
      <c r="D31" s="122">
        <f>+$C$46+$H$46</f>
        <v>0</v>
      </c>
      <c r="E31" s="1"/>
      <c r="F31" s="273">
        <f>DATE(YEAR($D$7)+65,MONTH($D$7),DAY($D$7))</f>
        <v>23742</v>
      </c>
      <c r="G31" s="274"/>
      <c r="H31" s="275">
        <f>DATE(YEAR($D$13)+7,MONTH($D$13),DAY($D$13))</f>
        <v>2557</v>
      </c>
      <c r="I31" s="276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6.5" hidden="1" thickBot="1" x14ac:dyDescent="0.3">
      <c r="A32" s="235" t="str">
        <f>IF($D$31&gt;=$B$31,"Yes","No")</f>
        <v>No</v>
      </c>
      <c r="B32" s="236"/>
      <c r="C32" s="236"/>
      <c r="D32" s="236"/>
      <c r="E32" s="1"/>
      <c r="F32" s="277" t="str">
        <f>IF($H$31&gt;$F$31,"65 Years Bar","7 Years Bar")</f>
        <v>7 Years Bar</v>
      </c>
      <c r="G32" s="278"/>
      <c r="H32" s="278">
        <f>IF($H31&gt;$F$31,$F$31,$H$31)</f>
        <v>2557</v>
      </c>
      <c r="I32" s="279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.75" hidden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5.75" hidden="1" x14ac:dyDescent="0.25">
      <c r="A34" s="196" t="s">
        <v>185</v>
      </c>
      <c r="B34" s="197"/>
      <c r="C34" s="197"/>
      <c r="D34" s="197"/>
      <c r="E34" s="1"/>
      <c r="F34" s="196" t="s">
        <v>154</v>
      </c>
      <c r="G34" s="197"/>
      <c r="H34" s="197"/>
      <c r="I34" s="197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.75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.75" hidden="1" x14ac:dyDescent="0.25">
      <c r="A36" s="186" t="s">
        <v>186</v>
      </c>
      <c r="B36" s="282"/>
      <c r="C36" s="282"/>
      <c r="D36" s="187"/>
      <c r="E36" s="1"/>
      <c r="F36" s="186" t="s">
        <v>188</v>
      </c>
      <c r="G36" s="282"/>
      <c r="H36" s="282"/>
      <c r="I36" s="187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.75" hidden="1" x14ac:dyDescent="0.25">
      <c r="A37" s="103" t="s">
        <v>149</v>
      </c>
      <c r="B37" s="103" t="s">
        <v>144</v>
      </c>
      <c r="C37" s="103" t="s">
        <v>150</v>
      </c>
      <c r="D37" s="123" t="s">
        <v>156</v>
      </c>
      <c r="E37" s="1"/>
      <c r="F37" s="186" t="s">
        <v>87</v>
      </c>
      <c r="G37" s="187"/>
      <c r="H37" s="103" t="s">
        <v>151</v>
      </c>
      <c r="I37" s="103" t="s">
        <v>152</v>
      </c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.75" hidden="1" x14ac:dyDescent="0.25">
      <c r="A38" s="131">
        <f>IF(OR($D$9=0,$D$11=0),0,DATEDIF($D$9,$D$11,"Y"))</f>
        <v>0</v>
      </c>
      <c r="B38" s="131">
        <f>IF(OR($D$9=0,$D$11=0),0,DATEDIF($D$9,$D$11,"M")-$A$38*12)</f>
        <v>0</v>
      </c>
      <c r="C38" s="120">
        <f>IF(OR($D$9=0,$D$11=0),0,DATE(YEAR($D$9)+$A$38,MONTH($D$9)+$B$38,DAY($D$9)))</f>
        <v>0</v>
      </c>
      <c r="D38" s="131">
        <f>IF(OR($D$9=0,$D$11=0),0,DATEDIF($C$38,$D$11,"D"))</f>
        <v>0</v>
      </c>
      <c r="E38" s="1"/>
      <c r="F38" s="166">
        <f>IF(OR($D$9=0,$D$11=0),0,'(1) Pension'!$J$38)</f>
        <v>0</v>
      </c>
      <c r="G38" s="167"/>
      <c r="H38" s="131">
        <f>+$D$38-$F$38</f>
        <v>0</v>
      </c>
      <c r="I38" s="121">
        <f>+$H$38/30</f>
        <v>0</v>
      </c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.75" hidden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5.75" hidden="1" x14ac:dyDescent="0.25">
      <c r="A40" s="186" t="s">
        <v>191</v>
      </c>
      <c r="B40" s="282"/>
      <c r="C40" s="282"/>
      <c r="D40" s="187"/>
      <c r="E40" s="1"/>
      <c r="F40" s="186" t="s">
        <v>189</v>
      </c>
      <c r="G40" s="282"/>
      <c r="H40" s="282"/>
      <c r="I40" s="187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.75" hidden="1" x14ac:dyDescent="0.25">
      <c r="A41" s="103" t="s">
        <v>149</v>
      </c>
      <c r="B41" s="103" t="s">
        <v>144</v>
      </c>
      <c r="C41" s="103" t="s">
        <v>150</v>
      </c>
      <c r="D41" s="123" t="s">
        <v>156</v>
      </c>
      <c r="E41" s="1"/>
      <c r="F41" s="186" t="s">
        <v>87</v>
      </c>
      <c r="G41" s="187"/>
      <c r="H41" s="103" t="s">
        <v>151</v>
      </c>
      <c r="I41" s="103" t="s">
        <v>152</v>
      </c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.75" hidden="1" x14ac:dyDescent="0.25">
      <c r="A42" s="131">
        <f>IF(OR($D$9=0,ISBLANK($D$13)),0,DATEDIF($D$9,$D$13,"Y"))</f>
        <v>0</v>
      </c>
      <c r="B42" s="131">
        <f>IF(OR($D$9=0,ISBLANK($D$13)),0,DATEDIF($D$9,$D$13,"M")-$A$42*12)</f>
        <v>0</v>
      </c>
      <c r="C42" s="120">
        <f>IF(OR($D$9=0,ISBLANK($D$13)),0,DATE(YEAR($D$9)+$A$42,MONTH($D$9)+$B$42,DAY($D$9)))</f>
        <v>0</v>
      </c>
      <c r="D42" s="131">
        <f>IF(OR($D$9=0,ISBLANK($D$13)),0,DATEDIF($C$42,$D$13,"D"))</f>
        <v>0</v>
      </c>
      <c r="E42" s="1"/>
      <c r="F42" s="166">
        <f>IF(OR($D$9=0,ISBLANK($D$13)),0,'(1) Pension'!$J$38)</f>
        <v>0</v>
      </c>
      <c r="G42" s="167"/>
      <c r="H42" s="131">
        <f>+$D$42-$F$42</f>
        <v>0</v>
      </c>
      <c r="I42" s="121">
        <f>+$H$42/30</f>
        <v>0</v>
      </c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hidden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.75" hidden="1" x14ac:dyDescent="0.25">
      <c r="A44" s="227" t="s">
        <v>187</v>
      </c>
      <c r="B44" s="281"/>
      <c r="C44" s="281"/>
      <c r="D44" s="228"/>
      <c r="E44" s="1"/>
      <c r="F44" s="227" t="s">
        <v>190</v>
      </c>
      <c r="G44" s="281"/>
      <c r="H44" s="281"/>
      <c r="I44" s="228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5.75" hidden="1" x14ac:dyDescent="0.25">
      <c r="A45" s="134" t="s">
        <v>149</v>
      </c>
      <c r="B45" s="134" t="s">
        <v>144</v>
      </c>
      <c r="C45" s="134" t="s">
        <v>150</v>
      </c>
      <c r="D45" s="135" t="s">
        <v>156</v>
      </c>
      <c r="E45" s="1"/>
      <c r="F45" s="227" t="s">
        <v>87</v>
      </c>
      <c r="G45" s="228"/>
      <c r="H45" s="134" t="s">
        <v>151</v>
      </c>
      <c r="I45" s="134" t="s">
        <v>152</v>
      </c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5.75" hidden="1" x14ac:dyDescent="0.25">
      <c r="A46" s="125">
        <f>IF(AND($D$11&gt;0,$D$11&lt;$D$13),$A$38,$A$42)</f>
        <v>0</v>
      </c>
      <c r="B46" s="125">
        <f>IF(AND($D$11&gt;0,$D$11&lt;$D$13),$B$38,$B$42)</f>
        <v>0</v>
      </c>
      <c r="C46" s="122">
        <f>IF(AND($D$11&gt;0,$D$11&lt;$D$13),$C$38,$C$42)</f>
        <v>0</v>
      </c>
      <c r="D46" s="125">
        <f>IF(AND($D$11&gt;0,$D$11&lt;$D$13),$D$38,$D$42)</f>
        <v>0</v>
      </c>
      <c r="E46" s="1"/>
      <c r="F46" s="170">
        <f>IF(AND($D$11&gt;0,$D$11&lt;$D$13),$F$38,$F$42)</f>
        <v>0</v>
      </c>
      <c r="G46" s="185"/>
      <c r="H46" s="125">
        <f>IF(AND($D$11&gt;0,$D$11&lt;$D$13),$H$38,$H$42)</f>
        <v>0</v>
      </c>
      <c r="I46" s="133">
        <f>IF(AND($D$11&gt;0,$D$11&lt;$D$13),$I$38,$I$42)</f>
        <v>0</v>
      </c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5.75" hidden="1" x14ac:dyDescent="0.25">
      <c r="A47" s="280">
        <f>IF(OR($D$9=0,ISBLANK($D$13)),0,  IF(AND($D$11&gt;0,$D$11&lt;$D$13),"Retired Before Death","Died Before Retirement"))</f>
        <v>0</v>
      </c>
      <c r="B47" s="280"/>
      <c r="C47" s="280"/>
      <c r="D47" s="280"/>
      <c r="E47" s="1"/>
      <c r="F47" s="227">
        <f>IF(OR($D$9=0,ISBLANK($D$13)),0,  IF(AND($D$11&gt;0,$D$11&lt;$D$13),"Retired Before Death","Died Before Retirement"))</f>
        <v>0</v>
      </c>
      <c r="G47" s="281"/>
      <c r="H47" s="281"/>
      <c r="I47" s="228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5.75" hidden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5.75" hidden="1" x14ac:dyDescent="0.25">
      <c r="A49" s="196" t="s">
        <v>184</v>
      </c>
      <c r="B49" s="197"/>
      <c r="C49" s="197"/>
      <c r="D49" s="197"/>
      <c r="E49" s="197"/>
      <c r="F49" s="197"/>
      <c r="G49" s="197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hidden="1" x14ac:dyDescent="0.25">
      <c r="A51" s="103" t="s">
        <v>155</v>
      </c>
      <c r="B51" s="103" t="s">
        <v>143</v>
      </c>
      <c r="C51" s="103" t="s">
        <v>144</v>
      </c>
      <c r="D51" s="103" t="s">
        <v>159</v>
      </c>
      <c r="E51" s="103" t="s">
        <v>160</v>
      </c>
      <c r="F51" s="103" t="s">
        <v>161</v>
      </c>
      <c r="G51" s="103" t="s">
        <v>156</v>
      </c>
      <c r="H51" s="1"/>
      <c r="I51" s="168" t="s">
        <v>111</v>
      </c>
      <c r="J51" s="16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5.75" hidden="1" x14ac:dyDescent="0.25">
      <c r="A52" s="122">
        <f>+$C$46+$H$46</f>
        <v>0</v>
      </c>
      <c r="B52" s="125">
        <f>IF(OR($D$9=0,ISBLANK($D$13)),0,DATEDIF($D$9,$A$52,"Y"))</f>
        <v>0</v>
      </c>
      <c r="C52" s="125">
        <f>IF(OR($D$9=0,ISBLANK($D$13)),0,DATEDIF($D$9,$A$52,"M"))-($B$52*12)</f>
        <v>0</v>
      </c>
      <c r="D52" s="120">
        <f>DATE(YEAR($D$9)+$B$52,MONTH($D$9)+$C$52,DAY($D$9))</f>
        <v>0</v>
      </c>
      <c r="E52" s="131">
        <f>IF(OR($D$9=0,ISBLANK($D$13)),0,DATEDIF($D$9,$A$52,"D"))</f>
        <v>0</v>
      </c>
      <c r="F52" s="131">
        <f>IF(OR($D$9=0,ISBLANK($D$13)),0,DATEDIF($D$9,$D$52,"D"))</f>
        <v>0</v>
      </c>
      <c r="G52" s="125">
        <f>+$E$52-$F$52</f>
        <v>0</v>
      </c>
      <c r="H52" s="1"/>
      <c r="I52" s="166">
        <f>IF(ISBLANK($D$13),0,IF($D$13&lt;DATEVALUE("1/11/1993"),"A",IF($D$13&lt;DATEVALUE("1/8/1997"),"B",IF($D$13&lt;DATEVALUE("1/8/2002"),"C",IF($D$13&lt;DATEVALUE("1/8/2007"),"D",IF($D$13&lt;DATEVALUE("1/8/2012"),"E","F"))))))</f>
        <v>0</v>
      </c>
      <c r="J52" s="167" t="str">
        <f t="shared" ref="J52" si="0">IF(ISBLANK($D$9),0,IF($D$9&lt;DATEVALUE("1/11/1993"),"A",IF($D$9&lt;DATEVALUE("1/8/1997"),"B",IF($D$9&lt;DATEVALUE("1/8/2002"),"C",IF($D$9&lt;DATEVALUE("1/8/2007"),"D",IF($D$9&lt;DATEVALUE("1/8/2012"),"E","F"))))))</f>
        <v>A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5.75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5.75" hidden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5.75" hidden="1" x14ac:dyDescent="0.25">
      <c r="A55" s="197" t="s">
        <v>129</v>
      </c>
      <c r="B55" s="197"/>
      <c r="C55" s="197"/>
      <c r="D55" s="197"/>
      <c r="E55" s="197"/>
      <c r="F55" s="197"/>
      <c r="G55" s="197"/>
      <c r="H55" s="197"/>
      <c r="I55" s="197"/>
      <c r="J55" s="19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6.5" hidden="1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.75" hidden="1" x14ac:dyDescent="0.25">
      <c r="A57" s="257" t="s">
        <v>131</v>
      </c>
      <c r="B57" s="258"/>
      <c r="C57" s="259"/>
      <c r="D57" s="107" t="s">
        <v>11</v>
      </c>
      <c r="E57" s="132" t="s">
        <v>12</v>
      </c>
      <c r="F57" s="107" t="s">
        <v>3</v>
      </c>
      <c r="G57" s="132" t="s">
        <v>4</v>
      </c>
      <c r="H57" s="107" t="s">
        <v>5</v>
      </c>
      <c r="I57" s="132" t="s">
        <v>6</v>
      </c>
      <c r="J57" s="107" t="s">
        <v>136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6.5" hidden="1" thickBot="1" x14ac:dyDescent="0.3">
      <c r="A58" s="260"/>
      <c r="B58" s="261"/>
      <c r="C58" s="262"/>
      <c r="D58" s="108" t="s">
        <v>14</v>
      </c>
      <c r="E58" s="109" t="s">
        <v>13</v>
      </c>
      <c r="F58" s="108" t="s">
        <v>7</v>
      </c>
      <c r="G58" s="109" t="s">
        <v>8</v>
      </c>
      <c r="H58" s="110" t="s">
        <v>9</v>
      </c>
      <c r="I58" s="109" t="s">
        <v>10</v>
      </c>
      <c r="J58" s="110" t="s">
        <v>137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.75" hidden="1" x14ac:dyDescent="0.25">
      <c r="A59" s="248" t="s">
        <v>132</v>
      </c>
      <c r="B59" s="249"/>
      <c r="C59" s="250"/>
      <c r="D59" s="35">
        <v>1500</v>
      </c>
      <c r="E59" s="35">
        <v>2870</v>
      </c>
      <c r="F59" s="36">
        <v>4360</v>
      </c>
      <c r="G59" s="36">
        <v>5840</v>
      </c>
      <c r="H59" s="36">
        <v>7390</v>
      </c>
      <c r="I59" s="37">
        <v>11820</v>
      </c>
      <c r="J59" s="264">
        <f>+$E$18</f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6.5" hidden="1" thickBot="1" x14ac:dyDescent="0.3">
      <c r="A60" s="251" t="s">
        <v>133</v>
      </c>
      <c r="B60" s="252"/>
      <c r="C60" s="253"/>
      <c r="D60" s="104">
        <v>3000</v>
      </c>
      <c r="E60" s="104">
        <v>5740</v>
      </c>
      <c r="F60" s="105">
        <v>8700</v>
      </c>
      <c r="G60" s="105">
        <v>11640</v>
      </c>
      <c r="H60" s="105">
        <v>14720</v>
      </c>
      <c r="I60" s="106">
        <v>23540</v>
      </c>
      <c r="J60" s="26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.75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.75" hidden="1" x14ac:dyDescent="0.25">
      <c r="A62" s="197" t="s">
        <v>134</v>
      </c>
      <c r="B62" s="197"/>
      <c r="C62" s="197"/>
      <c r="D62" s="197"/>
      <c r="E62" s="197"/>
      <c r="F62" s="197"/>
      <c r="G62" s="197"/>
      <c r="H62" s="197"/>
      <c r="I62" s="197"/>
      <c r="J62" s="19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6.5" hidden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.75" hidden="1" x14ac:dyDescent="0.25">
      <c r="A64" s="257" t="s">
        <v>138</v>
      </c>
      <c r="B64" s="258"/>
      <c r="C64" s="259"/>
      <c r="D64" s="107" t="s">
        <v>11</v>
      </c>
      <c r="E64" s="132" t="s">
        <v>12</v>
      </c>
      <c r="F64" s="107" t="s">
        <v>3</v>
      </c>
      <c r="G64" s="132" t="s">
        <v>4</v>
      </c>
      <c r="H64" s="107" t="s">
        <v>5</v>
      </c>
      <c r="I64" s="132" t="s">
        <v>6</v>
      </c>
      <c r="J64" s="107" t="s">
        <v>139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6.5" hidden="1" thickBot="1" x14ac:dyDescent="0.3">
      <c r="A65" s="260"/>
      <c r="B65" s="261"/>
      <c r="C65" s="262"/>
      <c r="D65" s="108" t="s">
        <v>14</v>
      </c>
      <c r="E65" s="109" t="s">
        <v>13</v>
      </c>
      <c r="F65" s="108" t="s">
        <v>7</v>
      </c>
      <c r="G65" s="109" t="s">
        <v>8</v>
      </c>
      <c r="H65" s="110" t="s">
        <v>9</v>
      </c>
      <c r="I65" s="109" t="s">
        <v>10</v>
      </c>
      <c r="J65" s="110" t="s">
        <v>130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hidden="1" x14ac:dyDescent="0.25">
      <c r="A66" s="248" t="s">
        <v>35</v>
      </c>
      <c r="B66" s="249"/>
      <c r="C66" s="250"/>
      <c r="D66" s="111">
        <f>ROUNDUP(IF($J$59&lt;=0,0,IF($J$59&lt;=$D$59,$J$59*50%,IF($J$59&lt;=$D$60,$J$59*40%,IF($J$59&gt;$D$60,$J$59*30%)))),0)</f>
        <v>0</v>
      </c>
      <c r="E66" s="111">
        <f>ROUNDUP(IF($J$59&lt;=0,0,IF($J$59&lt;=$E$59,$J$59*50%,IF($J$59&lt;=$E$60,$J$59*40%,IF($J$59&gt;$E$60,$J$59*30%)))),0)</f>
        <v>0</v>
      </c>
      <c r="F66" s="111">
        <f>ROUNDUP(IF($J$59&lt;=0,0,IF($J$59&lt;=$F$59,$J$59*50%,IF($J$59&lt;=$F$60,$J$59*40%,IF($J$59&gt;$F$60,$J$59*30%)))),0)</f>
        <v>0</v>
      </c>
      <c r="G66" s="111">
        <f>ROUNDUP(IF($J$59&lt;=0,0,IF($J$59&lt;=$G$59,$J$59*50%,IF($J$59&lt;=$G$60,$J$59*40%,IF($J$59&gt;$G$60,$J$59*30%)))),0)</f>
        <v>0</v>
      </c>
      <c r="H66" s="111">
        <f>ROUNDUP(IF($J$59&lt;=0,0,IF($J$59&lt;=$H$59,$J$59*50%,IF($J$59&lt;=$H$60,$J$59*40%,IF($J$59&gt;$H$60,$J$59*30%)))),0)</f>
        <v>0</v>
      </c>
      <c r="I66" s="112">
        <f>ROUNDUP(IF($J$59&lt;=0,0,IF($J$59&lt;=$I$59,$J$59*50%,IF($J$59&lt;=$I$60,$J$59*40%,IF($J$59&gt;$I$60,$J$59*30%)))),0)</f>
        <v>0</v>
      </c>
      <c r="J66" s="115" t="b">
        <f>IF($E$5="A",$D$66,IF($E$5="B",$E$66,IF($E$5="C",$F$66,IF($E$5="D",$G$66,IF($E$5="E",$H$66,IF($E$5="F",$I$66))))))</f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hidden="1" x14ac:dyDescent="0.25">
      <c r="A67" s="254" t="s">
        <v>135</v>
      </c>
      <c r="B67" s="255"/>
      <c r="C67" s="256"/>
      <c r="D67" s="35">
        <f>ROUNDUP(IF($J$59&lt;=0,0,IF($J$59&lt;=$D$59,$J$59*45%,IF($J$59&lt;=$D$60,$J$59*30%,IF($J$59&gt;$D$60,$J$59*22.5%)))),0)</f>
        <v>0</v>
      </c>
      <c r="E67" s="35">
        <f>ROUNDUP(IF($J$59&lt;=0,0,IF($J$59&lt;=$E$59,$J$59*45%,IF($J$59&lt;=$E$60,$J$59*30%,IF($J$59&gt;$E$60,$J$59*22.5%)))),0)</f>
        <v>0</v>
      </c>
      <c r="F67" s="36">
        <f>ROUNDUP(IF($J$59&lt;=0,0,IF($J$59&lt;=$F$59,$J$59*45%,IF($J$59&lt;=$F$60,$J$59*30%,IF($J$59&gt;$F$60,$J$59*22.5%)))),0)</f>
        <v>0</v>
      </c>
      <c r="G67" s="36">
        <f>ROUNDUP(IF($J$59&lt;=0,0,IF($J$59&lt;=$G$59,$J$59*45%,IF($J$59&lt;=$G$60,$J$59*30%,IF($J$59&gt;$G$60,$J$59*22.5%)))),0)</f>
        <v>0</v>
      </c>
      <c r="H67" s="36">
        <f>ROUNDUP(IF($J$59&lt;=0,0,IF($J$59&lt;=$H$59,$J$59*45%,IF($J$59&lt;=$H$60,$J$59*30%,IF($J$59&gt;$H$60,$J$59*22.5%)))),0)</f>
        <v>0</v>
      </c>
      <c r="I67" s="113">
        <f>ROUNDUP(IF($J$59&lt;=0,0,IF($J$59&lt;=$I$59,$J$59*45%,IF($J$59&lt;=$I$60,$J$59*30%,IF($J$59&gt;$I$60,$J$59*22.5%)))),0)</f>
        <v>0</v>
      </c>
      <c r="J67" s="116" t="b">
        <f>IF($E$5="A",$D$67,IF($E$5="B",$E$67,IF($E$5="C",$F$67,IF($E$5="D",$G$67,IF($E$5="E",$H$67,IF($E$5="F",$I$67))))))</f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6.5" hidden="1" thickBot="1" x14ac:dyDescent="0.3">
      <c r="A68" s="251" t="s">
        <v>34</v>
      </c>
      <c r="B68" s="252"/>
      <c r="C68" s="253"/>
      <c r="D68" s="104">
        <f>ROUNDUP(IF($J$59&lt;=0,0,IF($J$59&lt;=$D$59,$J$59*30%,IF($J$59&lt;=$D$60,$J$59*20%,IF($J$59&gt;$D$60,$J$59*15%)))),0)</f>
        <v>0</v>
      </c>
      <c r="E68" s="104">
        <f>ROUNDUP(IF($J$59&lt;=0,0,IF($J$59&lt;=$E$59,$J$59*30%,IF($J$59&lt;=$E$60,$J$59*20%,IF($J$59&gt;$E$60,$J$59*15%)))),0)</f>
        <v>0</v>
      </c>
      <c r="F68" s="105">
        <f>ROUNDUP(IF($J$59&lt;=0,0,IF($J$59&lt;=$F$59,$J$59*30%,IF($J$59&lt;=$F$60,$J$59*20%,IF($J$59&gt;$F$60,$J$59*15%)))),0)</f>
        <v>0</v>
      </c>
      <c r="G68" s="105">
        <f>ROUNDUP(IF($J$59&lt;=0,0,IF($J$59&lt;=$G$59,$J$59*30%,IF($J$59&lt;=$G$60,$J$59*20%,IF($J$59&gt;$G$60,$J$59*15%)))),0)</f>
        <v>0</v>
      </c>
      <c r="H68" s="105">
        <f>ROUNDUP(IF($J$59&lt;=0,0,IF($J$59&lt;=$H$59,$J$59*30%,IF($J$59&lt;=$H$60,$J$59*20%,IF($J$59&gt;$H$60,$J$59*15%)))),0)</f>
        <v>0</v>
      </c>
      <c r="I68" s="114">
        <f>ROUNDUP(IF($J$59&lt;=0,0,IF($J$59&lt;=$I$59,$J$59*30%,IF($J$59&lt;=$I$60,$J$59*20%,IF($J$59&gt;$I$60,$J$59*15%)))),0)</f>
        <v>0</v>
      </c>
      <c r="J68" s="117" t="b">
        <f>IF($E$5="A",$D$68,IF($E$5="B",$E$68,IF($E$5="C",$F$68,IF($E$5="D",$G$68,IF($E$5="E",$H$68,IF($E$5="F",$I$68))))))</f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.75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6.5" hidden="1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6.5" hidden="1" thickBot="1" x14ac:dyDescent="0.3">
      <c r="A71" s="1"/>
      <c r="B71" s="245" t="s">
        <v>140</v>
      </c>
      <c r="C71" s="246"/>
      <c r="D71" s="209">
        <f>IF(OR($D$7=0,$D$9=0,ISBLANK($D$13)),0,IF($A$32="No",0,IF($D$15="Yes",$J$67,$J$66)))</f>
        <v>0</v>
      </c>
      <c r="E71" s="210"/>
      <c r="F71" s="245" t="s">
        <v>141</v>
      </c>
      <c r="G71" s="246"/>
      <c r="H71" s="247"/>
      <c r="I71" s="209">
        <f>IF(OR($D$7=0,$D$9=0,ISBLANK($D$13)),0,$J$68)</f>
        <v>0</v>
      </c>
      <c r="J71" s="21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.75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.75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.75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.75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5.75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5.75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5.75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5.75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5.75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5.75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5.75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5.75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5.75" hidden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5.75" hidden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5.75" hidden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5.75" hidden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5.75" hidden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5.75" hidden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5.75" hidden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5.75" hidden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5.75" hidden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5.75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5.75" hidden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5.75" hidden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5.75" hidden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5.75" hidden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5.75" hidden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5.75" hidden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5.75" hidden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</sheetData>
  <sheetProtection password="C7AA" sheet="1" objects="1" scenarios="1"/>
  <mergeCells count="76">
    <mergeCell ref="I51:J51"/>
    <mergeCell ref="I52:J52"/>
    <mergeCell ref="M11:N11"/>
    <mergeCell ref="F45:G45"/>
    <mergeCell ref="F46:G46"/>
    <mergeCell ref="A49:G49"/>
    <mergeCell ref="A13:C13"/>
    <mergeCell ref="G13:H13"/>
    <mergeCell ref="A20:C20"/>
    <mergeCell ref="D20:E20"/>
    <mergeCell ref="A22:C22"/>
    <mergeCell ref="D22:E22"/>
    <mergeCell ref="A15:C15"/>
    <mergeCell ref="D15:E15"/>
    <mergeCell ref="G15:H15"/>
    <mergeCell ref="I15:J15"/>
    <mergeCell ref="F31:G31"/>
    <mergeCell ref="H31:I31"/>
    <mergeCell ref="F32:G32"/>
    <mergeCell ref="H32:I32"/>
    <mergeCell ref="A47:D47"/>
    <mergeCell ref="F47:I47"/>
    <mergeCell ref="A36:D36"/>
    <mergeCell ref="A40:D40"/>
    <mergeCell ref="A44:D44"/>
    <mergeCell ref="F36:I36"/>
    <mergeCell ref="F40:I40"/>
    <mergeCell ref="F44:I44"/>
    <mergeCell ref="F37:G37"/>
    <mergeCell ref="F38:G38"/>
    <mergeCell ref="F42:G42"/>
    <mergeCell ref="F41:G41"/>
    <mergeCell ref="A9:C9"/>
    <mergeCell ref="D9:E9"/>
    <mergeCell ref="G9:H9"/>
    <mergeCell ref="A11:C11"/>
    <mergeCell ref="D11:E11"/>
    <mergeCell ref="G11:H11"/>
    <mergeCell ref="A1:J1"/>
    <mergeCell ref="A3:D3"/>
    <mergeCell ref="A4:D4"/>
    <mergeCell ref="A5:D5"/>
    <mergeCell ref="A7:C7"/>
    <mergeCell ref="F5:I5"/>
    <mergeCell ref="G7:H7"/>
    <mergeCell ref="I7:J7"/>
    <mergeCell ref="D7:E7"/>
    <mergeCell ref="D13:E13"/>
    <mergeCell ref="I17:J17"/>
    <mergeCell ref="I19:J19"/>
    <mergeCell ref="I13:J13"/>
    <mergeCell ref="M7:N7"/>
    <mergeCell ref="I9:J9"/>
    <mergeCell ref="I11:J11"/>
    <mergeCell ref="A64:C65"/>
    <mergeCell ref="A57:C58"/>
    <mergeCell ref="A60:C60"/>
    <mergeCell ref="B71:C71"/>
    <mergeCell ref="A26:J26"/>
    <mergeCell ref="A55:J55"/>
    <mergeCell ref="A59:C59"/>
    <mergeCell ref="J59:J60"/>
    <mergeCell ref="A62:J62"/>
    <mergeCell ref="A28:D28"/>
    <mergeCell ref="F28:I28"/>
    <mergeCell ref="A32:D32"/>
    <mergeCell ref="A34:D34"/>
    <mergeCell ref="F34:I34"/>
    <mergeCell ref="F30:G30"/>
    <mergeCell ref="H30:I30"/>
    <mergeCell ref="F71:H71"/>
    <mergeCell ref="D71:E71"/>
    <mergeCell ref="I71:J71"/>
    <mergeCell ref="A66:C66"/>
    <mergeCell ref="A68:C68"/>
    <mergeCell ref="A67:C67"/>
  </mergeCells>
  <pageMargins left="0.7" right="0.7" top="0.75" bottom="0.75" header="0.3" footer="0.3"/>
  <pageSetup paperSize="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3"/>
  <sheetViews>
    <sheetView showZeros="0" zoomScale="84" zoomScaleNormal="84" workbookViewId="0">
      <pane xSplit="4" ySplit="10" topLeftCell="F56" activePane="bottomRight" state="frozen"/>
      <selection pane="topRight" activeCell="E1" sqref="E1"/>
      <selection pane="bottomLeft" activeCell="A10" sqref="A10"/>
      <selection pane="bottomRight" activeCell="D69" sqref="D69"/>
    </sheetView>
  </sheetViews>
  <sheetFormatPr defaultRowHeight="15" x14ac:dyDescent="0.25"/>
  <cols>
    <col min="1" max="1" width="4.7109375" style="4" customWidth="1"/>
    <col min="2" max="2" width="8.7109375" style="4" customWidth="1"/>
    <col min="3" max="3" width="6.7109375" style="4" customWidth="1"/>
    <col min="4" max="4" width="8.7109375" style="4" customWidth="1"/>
    <col min="5" max="22" width="10.7109375" style="4" customWidth="1"/>
    <col min="23" max="16384" width="9.140625" style="4"/>
  </cols>
  <sheetData>
    <row r="1" spans="1:52" ht="24.95" customHeight="1" thickBot="1" x14ac:dyDescent="0.35">
      <c r="A1" s="310" t="s">
        <v>142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4.95" customHeight="1" thickBot="1" x14ac:dyDescent="0.4">
      <c r="A2" s="313" t="s">
        <v>55</v>
      </c>
      <c r="B2" s="313"/>
      <c r="C2" s="313"/>
      <c r="D2" s="313"/>
      <c r="E2" s="313"/>
      <c r="F2" s="313"/>
      <c r="G2" s="313"/>
      <c r="H2" s="313"/>
      <c r="I2" s="313"/>
      <c r="J2" s="313"/>
      <c r="K2" s="64" t="s">
        <v>57</v>
      </c>
      <c r="L2" s="314" t="s">
        <v>56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20.25" x14ac:dyDescent="0.3">
      <c r="A3" s="315" t="str">
        <f>IF('(2) Family Pension'!$J$5="Yes","Family Pension","Pension")</f>
        <v>Pension</v>
      </c>
      <c r="B3" s="316"/>
      <c r="C3" s="316"/>
      <c r="D3" s="317"/>
      <c r="E3" s="304" t="s">
        <v>11</v>
      </c>
      <c r="F3" s="305"/>
      <c r="G3" s="306"/>
      <c r="H3" s="304" t="s">
        <v>12</v>
      </c>
      <c r="I3" s="305"/>
      <c r="J3" s="306"/>
      <c r="K3" s="304" t="s">
        <v>3</v>
      </c>
      <c r="L3" s="305"/>
      <c r="M3" s="306"/>
      <c r="N3" s="304" t="s">
        <v>4</v>
      </c>
      <c r="O3" s="305"/>
      <c r="P3" s="306"/>
      <c r="Q3" s="304" t="s">
        <v>5</v>
      </c>
      <c r="R3" s="305"/>
      <c r="S3" s="306"/>
      <c r="T3" s="304" t="s">
        <v>6</v>
      </c>
      <c r="U3" s="305"/>
      <c r="V3" s="306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23.25" x14ac:dyDescent="0.35">
      <c r="A4" s="318">
        <f>IF('(2) Family Pension'!$J$5="Yes",'(2) Family Pension'!$E$5,'(1) Pension'!$E$5)</f>
        <v>0</v>
      </c>
      <c r="B4" s="319"/>
      <c r="C4" s="319"/>
      <c r="D4" s="320"/>
      <c r="E4" s="307" t="s">
        <v>43</v>
      </c>
      <c r="F4" s="308"/>
      <c r="G4" s="309"/>
      <c r="H4" s="301" t="s">
        <v>44</v>
      </c>
      <c r="I4" s="302"/>
      <c r="J4" s="303"/>
      <c r="K4" s="307" t="s">
        <v>45</v>
      </c>
      <c r="L4" s="308"/>
      <c r="M4" s="309"/>
      <c r="N4" s="301" t="s">
        <v>46</v>
      </c>
      <c r="O4" s="302"/>
      <c r="P4" s="303"/>
      <c r="Q4" s="301" t="s">
        <v>47</v>
      </c>
      <c r="R4" s="302"/>
      <c r="S4" s="303"/>
      <c r="T4" s="301" t="s">
        <v>48</v>
      </c>
      <c r="U4" s="302"/>
      <c r="V4" s="30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6.5" thickBot="1" x14ac:dyDescent="0.3">
      <c r="A5" s="301"/>
      <c r="B5" s="302"/>
      <c r="C5" s="302"/>
      <c r="D5" s="303"/>
      <c r="E5" s="301" t="s">
        <v>49</v>
      </c>
      <c r="F5" s="302"/>
      <c r="G5" s="303"/>
      <c r="H5" s="301" t="s">
        <v>50</v>
      </c>
      <c r="I5" s="302"/>
      <c r="J5" s="303"/>
      <c r="K5" s="301" t="s">
        <v>51</v>
      </c>
      <c r="L5" s="302"/>
      <c r="M5" s="303"/>
      <c r="N5" s="301" t="s">
        <v>52</v>
      </c>
      <c r="O5" s="302"/>
      <c r="P5" s="303"/>
      <c r="Q5" s="301" t="s">
        <v>53</v>
      </c>
      <c r="R5" s="302"/>
      <c r="S5" s="303"/>
      <c r="T5" s="301" t="s">
        <v>54</v>
      </c>
      <c r="U5" s="302"/>
      <c r="V5" s="30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" x14ac:dyDescent="0.25">
      <c r="A6" s="297" t="str">
        <f>IF('(2) Family Pension'!$J$5="Yes",0,"Gross Basic Pension")</f>
        <v>Gross Basic Pension</v>
      </c>
      <c r="B6" s="298"/>
      <c r="C6" s="298"/>
      <c r="D6" s="298"/>
      <c r="E6" s="285">
        <f>IF('(2) Family Pension'!$J$5="Yes",0,IF($A$4="A",'(1) Pension'!$I$17,0))</f>
        <v>0</v>
      </c>
      <c r="F6" s="286"/>
      <c r="G6" s="287"/>
      <c r="H6" s="285">
        <f>IF('(2) Family Pension'!$J$5="Yes",0,IF($A$4="B",'(1) Pension'!$I$17,0))</f>
        <v>0</v>
      </c>
      <c r="I6" s="286"/>
      <c r="J6" s="287"/>
      <c r="K6" s="285">
        <f>IF('(2) Family Pension'!$J$5="Yes",0,IF($A$4="C",'(1) Pension'!$I$17,0))</f>
        <v>0</v>
      </c>
      <c r="L6" s="286"/>
      <c r="M6" s="287"/>
      <c r="N6" s="285">
        <f>IF('(2) Family Pension'!$J$5="Yes",0,IF($A$4="D",'(1) Pension'!$I$17,0))</f>
        <v>0</v>
      </c>
      <c r="O6" s="286"/>
      <c r="P6" s="287"/>
      <c r="Q6" s="285">
        <f>IF('(2) Family Pension'!$J$5="Yes",0,IF($A$4="E",'(1) Pension'!$I$17,0))</f>
        <v>0</v>
      </c>
      <c r="R6" s="286"/>
      <c r="S6" s="287"/>
      <c r="T6" s="285">
        <f>IF('(2) Family Pension'!$J$5="Yes",0,IF($A$4="F",'(1) Pension'!$I$17,0))</f>
        <v>0</v>
      </c>
      <c r="U6" s="286"/>
      <c r="V6" s="287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8.75" thickBot="1" x14ac:dyDescent="0.3">
      <c r="A7" s="299" t="str">
        <f>IF('(2) Family Pension'!$J$5="Yes",0,"Net Basic Pension")</f>
        <v>Net Basic Pension</v>
      </c>
      <c r="B7" s="300"/>
      <c r="C7" s="300"/>
      <c r="D7" s="300"/>
      <c r="E7" s="288">
        <f>IF('(2) Family Pension'!$J$5="Yes",0,IF($A$4="A",'(1) Pension'!$I$19,0))</f>
        <v>0</v>
      </c>
      <c r="F7" s="289"/>
      <c r="G7" s="290"/>
      <c r="H7" s="288">
        <f>IF('(2) Family Pension'!$J$5="Yes",0,IF($A$4="B",'(1) Pension'!$I$19,0))</f>
        <v>0</v>
      </c>
      <c r="I7" s="289"/>
      <c r="J7" s="290"/>
      <c r="K7" s="288">
        <f>IF('(2) Family Pension'!$J$5="Yes",0,IF($A$4="C",'(1) Pension'!$I$19,0))</f>
        <v>0</v>
      </c>
      <c r="L7" s="289"/>
      <c r="M7" s="290"/>
      <c r="N7" s="288">
        <f>IF('(2) Family Pension'!$J$5="Yes",0,IF($A$4="D",'(1) Pension'!$I$19,0))</f>
        <v>0</v>
      </c>
      <c r="O7" s="289"/>
      <c r="P7" s="290"/>
      <c r="Q7" s="288">
        <f>IF('(2) Family Pension'!$J$5="Yes",0,IF($A$4="E",'(1) Pension'!$I$19,0))</f>
        <v>0</v>
      </c>
      <c r="R7" s="289"/>
      <c r="S7" s="290"/>
      <c r="T7" s="288">
        <f>IF('(2) Family Pension'!$J$5="Yes",0,IF($A$4="F",'(1) Pension'!$I$19,0))</f>
        <v>0</v>
      </c>
      <c r="U7" s="289"/>
      <c r="V7" s="290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8" x14ac:dyDescent="0.25">
      <c r="A8" s="293">
        <f>IF('(2) Family Pension'!$J$5="Yes","Enhanced Pension",0)</f>
        <v>0</v>
      </c>
      <c r="B8" s="294"/>
      <c r="C8" s="294"/>
      <c r="D8" s="294"/>
      <c r="E8" s="146">
        <f>IF(AND('(2) Family Pension'!$J$5="Yes",$A$4="A"),'(2) Family Pension'!$I$17,0)</f>
        <v>0</v>
      </c>
      <c r="F8" s="291"/>
      <c r="G8" s="283">
        <f>IF(F8="E",E8,E9)</f>
        <v>0</v>
      </c>
      <c r="H8" s="146">
        <f>IF(AND('(2) Family Pension'!$J$5="Yes",$A$4="B"),'(2) Family Pension'!$I$17,0)</f>
        <v>0</v>
      </c>
      <c r="I8" s="291"/>
      <c r="J8" s="283">
        <f>IF(I8="E",H8,H9)</f>
        <v>0</v>
      </c>
      <c r="K8" s="146">
        <f>IF(AND('(2) Family Pension'!$J$5="Yes",$A$4="C"),'(2) Family Pension'!$I$17,0)</f>
        <v>0</v>
      </c>
      <c r="L8" s="291"/>
      <c r="M8" s="283">
        <f>IF(L8="E",K8,K9)</f>
        <v>0</v>
      </c>
      <c r="N8" s="146">
        <f>IF(AND('(2) Family Pension'!$J$5="Yes",$A$4="D"),'(2) Family Pension'!$I$17,0)</f>
        <v>0</v>
      </c>
      <c r="O8" s="291"/>
      <c r="P8" s="283">
        <f>IF(O8="E",N8,N9)</f>
        <v>0</v>
      </c>
      <c r="Q8" s="146">
        <f>IF(AND('(2) Family Pension'!$J$5="Yes",$A$4="E"),'(2) Family Pension'!$I$17,0)</f>
        <v>0</v>
      </c>
      <c r="R8" s="291"/>
      <c r="S8" s="283">
        <f>IF(R8="E",Q8,Q9)</f>
        <v>0</v>
      </c>
      <c r="T8" s="146">
        <f>IF(AND('(2) Family Pension'!$J$5="Yes",$A$4="F"),'(2) Family Pension'!$I$17,0)</f>
        <v>0</v>
      </c>
      <c r="U8" s="291"/>
      <c r="V8" s="283">
        <f>IF(U8="E",T8,T9)</f>
        <v>0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8.75" thickBot="1" x14ac:dyDescent="0.3">
      <c r="A9" s="295">
        <f>IF('(2) Family Pension'!$J$5="Yes","Normal Pension",0)</f>
        <v>0</v>
      </c>
      <c r="B9" s="296"/>
      <c r="C9" s="296"/>
      <c r="D9" s="296"/>
      <c r="E9" s="147">
        <f>IF(AND('(2) Family Pension'!$J$5="Yes",$A$4="A"),'(2) Family Pension'!$I$19,0)</f>
        <v>0</v>
      </c>
      <c r="F9" s="292"/>
      <c r="G9" s="284"/>
      <c r="H9" s="147">
        <f>IF(AND('(2) Family Pension'!$J$5="Yes",$A$4="B"),'(2) Family Pension'!$I$19,0)</f>
        <v>0</v>
      </c>
      <c r="I9" s="292"/>
      <c r="J9" s="284"/>
      <c r="K9" s="147">
        <f>IF(AND('(2) Family Pension'!$J$5="Yes",$A$4="C"),'(2) Family Pension'!$I$19,0)</f>
        <v>0</v>
      </c>
      <c r="L9" s="292"/>
      <c r="M9" s="284"/>
      <c r="N9" s="147">
        <f>IF(AND('(2) Family Pension'!$J$5="Yes",$A$4="D"),'(2) Family Pension'!$I$19,0)</f>
        <v>0</v>
      </c>
      <c r="O9" s="292"/>
      <c r="P9" s="284"/>
      <c r="Q9" s="147">
        <f>IF(AND('(2) Family Pension'!$J$5="Yes",$A$4="E"),'(2) Family Pension'!$I$19,0)</f>
        <v>0</v>
      </c>
      <c r="R9" s="292"/>
      <c r="S9" s="284"/>
      <c r="T9" s="147">
        <f>IF(AND('(2) Family Pension'!$J$5="Yes",$A$4="F"),'(2) Family Pension'!$I$19,0)</f>
        <v>0</v>
      </c>
      <c r="U9" s="292"/>
      <c r="V9" s="28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6.5" customHeight="1" thickBot="1" x14ac:dyDescent="0.3">
      <c r="A10" s="138" t="s">
        <v>42</v>
      </c>
      <c r="B10" s="139" t="s">
        <v>0</v>
      </c>
      <c r="C10" s="139" t="s">
        <v>38</v>
      </c>
      <c r="D10" s="140" t="s">
        <v>2</v>
      </c>
      <c r="E10" s="141" t="s">
        <v>21</v>
      </c>
      <c r="F10" s="142" t="s">
        <v>17</v>
      </c>
      <c r="G10" s="143" t="s">
        <v>18</v>
      </c>
      <c r="H10" s="144" t="s">
        <v>21</v>
      </c>
      <c r="I10" s="145" t="s">
        <v>17</v>
      </c>
      <c r="J10" s="143" t="s">
        <v>18</v>
      </c>
      <c r="K10" s="144" t="s">
        <v>21</v>
      </c>
      <c r="L10" s="145" t="s">
        <v>17</v>
      </c>
      <c r="M10" s="143" t="s">
        <v>18</v>
      </c>
      <c r="N10" s="144" t="s">
        <v>21</v>
      </c>
      <c r="O10" s="145" t="s">
        <v>17</v>
      </c>
      <c r="P10" s="143" t="s">
        <v>18</v>
      </c>
      <c r="Q10" s="144" t="s">
        <v>21</v>
      </c>
      <c r="R10" s="145" t="s">
        <v>17</v>
      </c>
      <c r="S10" s="143" t="s">
        <v>18</v>
      </c>
      <c r="T10" s="144" t="s">
        <v>21</v>
      </c>
      <c r="U10" s="145" t="s">
        <v>17</v>
      </c>
      <c r="V10" s="143" t="s">
        <v>18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.75" x14ac:dyDescent="0.25">
      <c r="A11" s="42">
        <v>1</v>
      </c>
      <c r="B11" s="43">
        <v>1993</v>
      </c>
      <c r="C11" s="44" t="s">
        <v>39</v>
      </c>
      <c r="D11" s="45">
        <v>1216</v>
      </c>
      <c r="E11" s="53">
        <f>IF(AND($A$4="A",$D11&gt;0),ROUND(($D11-600)/4,0),0)</f>
        <v>0</v>
      </c>
      <c r="F11" s="54">
        <f>IF(AND('(2) Family Pension'!$J$5="Yes",G$8&gt;0),ROUND(G$8*E11*0.0067,0),IF(E$6&gt;0,ROUND(E$6*E11*0.0067,0),0))</f>
        <v>0</v>
      </c>
      <c r="G11" s="62">
        <f>IF(AND('(2) Family Pension'!$J$5="Yes",$D11&gt;0),G$8+F11,IF($D11&gt;0,E$7+F11,0))</f>
        <v>0</v>
      </c>
      <c r="H11" s="58">
        <f>IF(AND($A$4="B",$D11&gt;0),ROUND(($D11-1148)/4,0),0)</f>
        <v>0</v>
      </c>
      <c r="I11" s="54">
        <f>IF(AND('(2) Family Pension'!$J$5="Yes",J$8&gt;0),ROUND(J$8*H11*0.0035,0),IF(H$6&gt;0,ROUND(H$6*H11*0.0035,0),0))</f>
        <v>0</v>
      </c>
      <c r="J11" s="62">
        <f>IF(AND('(2) Family Pension'!$J$5="Yes",$D11&gt;0),J$8+I11,IF($D11&gt;0,H$7+I11,0))</f>
        <v>0</v>
      </c>
      <c r="K11" s="60"/>
      <c r="L11" s="61"/>
      <c r="M11" s="62"/>
      <c r="N11" s="60"/>
      <c r="O11" s="61"/>
      <c r="P11" s="62"/>
      <c r="Q11" s="60"/>
      <c r="R11" s="61"/>
      <c r="S11" s="62"/>
      <c r="T11" s="60"/>
      <c r="U11" s="61"/>
      <c r="V11" s="6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.75" x14ac:dyDescent="0.25">
      <c r="A12" s="42">
        <v>2</v>
      </c>
      <c r="B12" s="43">
        <v>1994</v>
      </c>
      <c r="C12" s="44" t="s">
        <v>40</v>
      </c>
      <c r="D12" s="45">
        <v>1296</v>
      </c>
      <c r="E12" s="53">
        <f t="shared" ref="E12:E75" si="0">IF(AND($A$4="A",$D12&gt;0),ROUND(($D12-600)/4,0),0)</f>
        <v>0</v>
      </c>
      <c r="F12" s="54">
        <f>IF(AND('(2) Family Pension'!$J$5="Yes",G$8&gt;0),ROUND(G$8*E12*0.0067,0),IF(E$6&gt;0,ROUND(E$6*E12*0.0067,0),0))</f>
        <v>0</v>
      </c>
      <c r="G12" s="62">
        <f>IF(AND('(2) Family Pension'!$J$5="Yes",$D12&gt;0),G$8+F12,IF($D12&gt;0,E$7+F12,0))</f>
        <v>0</v>
      </c>
      <c r="H12" s="58">
        <f t="shared" ref="H12:H75" si="1">IF(AND($A$4="B",$D12&gt;0),ROUND(($D12-1148)/4,0),0)</f>
        <v>0</v>
      </c>
      <c r="I12" s="54">
        <f>IF(AND('(2) Family Pension'!$J$5="Yes",J$8&gt;0),ROUND(J$8*H12*0.0035,0),IF(H$6&gt;0,ROUND(H$6*H12*0.0035,0),0))</f>
        <v>0</v>
      </c>
      <c r="J12" s="62">
        <f>IF(AND('(2) Family Pension'!$J$5="Yes",$D12&gt;0),J$8+I12,IF($D12&gt;0,H$7+I12,0))</f>
        <v>0</v>
      </c>
      <c r="K12" s="60"/>
      <c r="L12" s="61"/>
      <c r="M12" s="62"/>
      <c r="N12" s="60"/>
      <c r="O12" s="61"/>
      <c r="P12" s="62"/>
      <c r="Q12" s="60"/>
      <c r="R12" s="61"/>
      <c r="S12" s="62"/>
      <c r="T12" s="60"/>
      <c r="U12" s="61"/>
      <c r="V12" s="6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.75" x14ac:dyDescent="0.25">
      <c r="A13" s="42">
        <v>3</v>
      </c>
      <c r="B13" s="43">
        <v>1994</v>
      </c>
      <c r="C13" s="44" t="s">
        <v>41</v>
      </c>
      <c r="D13" s="45">
        <v>1344</v>
      </c>
      <c r="E13" s="53">
        <f t="shared" si="0"/>
        <v>0</v>
      </c>
      <c r="F13" s="54">
        <f>IF(AND('(2) Family Pension'!$J$5="Yes",G$8&gt;0),ROUND(G$8*E13*0.0067,0),IF(E$6&gt;0,ROUND(E$6*E13*0.0067,0),0))</f>
        <v>0</v>
      </c>
      <c r="G13" s="62">
        <f>IF(AND('(2) Family Pension'!$J$5="Yes",$D13&gt;0),G$8+F13,IF($D13&gt;0,E$7+F13,0))</f>
        <v>0</v>
      </c>
      <c r="H13" s="58">
        <f t="shared" si="1"/>
        <v>0</v>
      </c>
      <c r="I13" s="54">
        <f>IF(AND('(2) Family Pension'!$J$5="Yes",J$8&gt;0),ROUND(J$8*H13*0.0035,0),IF(H$6&gt;0,ROUND(H$6*H13*0.0035,0),0))</f>
        <v>0</v>
      </c>
      <c r="J13" s="62">
        <f>IF(AND('(2) Family Pension'!$J$5="Yes",$D13&gt;0),J$8+I13,IF($D13&gt;0,H$7+I13,0))</f>
        <v>0</v>
      </c>
      <c r="K13" s="60"/>
      <c r="L13" s="61"/>
      <c r="M13" s="62"/>
      <c r="N13" s="60"/>
      <c r="O13" s="61"/>
      <c r="P13" s="62"/>
      <c r="Q13" s="60"/>
      <c r="R13" s="61"/>
      <c r="S13" s="62"/>
      <c r="T13" s="60"/>
      <c r="U13" s="61"/>
      <c r="V13" s="6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.75" x14ac:dyDescent="0.25">
      <c r="A14" s="42">
        <v>4</v>
      </c>
      <c r="B14" s="43">
        <v>1995</v>
      </c>
      <c r="C14" s="44" t="s">
        <v>40</v>
      </c>
      <c r="D14" s="45">
        <v>1428</v>
      </c>
      <c r="E14" s="53">
        <f t="shared" si="0"/>
        <v>0</v>
      </c>
      <c r="F14" s="54">
        <f>IF(AND('(2) Family Pension'!$J$5="Yes",G$8&gt;0),ROUND(G$8*E14*0.0067,0),IF(E$6&gt;0,ROUND(E$6*E14*0.0067,0),0))</f>
        <v>0</v>
      </c>
      <c r="G14" s="62">
        <f>IF(AND('(2) Family Pension'!$J$5="Yes",$D14&gt;0),G$8+F14,IF($D14&gt;0,E$7+F14,0))</f>
        <v>0</v>
      </c>
      <c r="H14" s="58">
        <f t="shared" si="1"/>
        <v>0</v>
      </c>
      <c r="I14" s="54">
        <f>IF(AND('(2) Family Pension'!$J$5="Yes",J$8&gt;0),ROUND(J$8*H14*0.0035,0),IF(H$6&gt;0,ROUND(H$6*H14*0.0035,0),0))</f>
        <v>0</v>
      </c>
      <c r="J14" s="62">
        <f>IF(AND('(2) Family Pension'!$J$5="Yes",$D14&gt;0),J$8+I14,IF($D14&gt;0,H$7+I14,0))</f>
        <v>0</v>
      </c>
      <c r="K14" s="60"/>
      <c r="L14" s="61"/>
      <c r="M14" s="62"/>
      <c r="N14" s="60"/>
      <c r="O14" s="61"/>
      <c r="P14" s="62"/>
      <c r="Q14" s="60"/>
      <c r="R14" s="61"/>
      <c r="S14" s="62"/>
      <c r="T14" s="60"/>
      <c r="U14" s="61"/>
      <c r="V14" s="6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.75" x14ac:dyDescent="0.25">
      <c r="A15" s="42">
        <v>5</v>
      </c>
      <c r="B15" s="43">
        <v>1995</v>
      </c>
      <c r="C15" s="44" t="s">
        <v>41</v>
      </c>
      <c r="D15" s="45">
        <v>1480</v>
      </c>
      <c r="E15" s="53">
        <f t="shared" si="0"/>
        <v>0</v>
      </c>
      <c r="F15" s="54">
        <f>IF(AND('(2) Family Pension'!$J$5="Yes",G$8&gt;0),ROUND(G$8*E15*0.0067,0),IF(E$6&gt;0,ROUND(E$6*E15*0.0067,0),0))</f>
        <v>0</v>
      </c>
      <c r="G15" s="62">
        <f>IF(AND('(2) Family Pension'!$J$5="Yes",$D15&gt;0),G$8+F15,IF($D15&gt;0,E$7+F15,0))</f>
        <v>0</v>
      </c>
      <c r="H15" s="58">
        <f t="shared" si="1"/>
        <v>0</v>
      </c>
      <c r="I15" s="54">
        <f>IF(AND('(2) Family Pension'!$J$5="Yes",J$8&gt;0),ROUND(J$8*H15*0.0035,0),IF(H$6&gt;0,ROUND(H$6*H15*0.0035,0),0))</f>
        <v>0</v>
      </c>
      <c r="J15" s="62">
        <f>IF(AND('(2) Family Pension'!$J$5="Yes",$D15&gt;0),J$8+I15,IF($D15&gt;0,H$7+I15,0))</f>
        <v>0</v>
      </c>
      <c r="K15" s="60"/>
      <c r="L15" s="61"/>
      <c r="M15" s="62"/>
      <c r="N15" s="60"/>
      <c r="O15" s="61"/>
      <c r="P15" s="62"/>
      <c r="Q15" s="60"/>
      <c r="R15" s="61"/>
      <c r="S15" s="62"/>
      <c r="T15" s="60"/>
      <c r="U15" s="61"/>
      <c r="V15" s="6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.75" x14ac:dyDescent="0.25">
      <c r="A16" s="42">
        <v>6</v>
      </c>
      <c r="B16" s="43">
        <v>1996</v>
      </c>
      <c r="C16" s="44" t="s">
        <v>40</v>
      </c>
      <c r="D16" s="45">
        <v>1572</v>
      </c>
      <c r="E16" s="53">
        <f t="shared" si="0"/>
        <v>0</v>
      </c>
      <c r="F16" s="54">
        <f>IF(AND('(2) Family Pension'!$J$5="Yes",G$8&gt;0),ROUND(G$8*E16*0.0067,0),IF(E$6&gt;0,ROUND(E$6*E16*0.0067,0),0))</f>
        <v>0</v>
      </c>
      <c r="G16" s="62">
        <f>IF(AND('(2) Family Pension'!$J$5="Yes",$D16&gt;0),G$8+F16,IF($D16&gt;0,E$7+F16,0))</f>
        <v>0</v>
      </c>
      <c r="H16" s="58">
        <f t="shared" si="1"/>
        <v>0</v>
      </c>
      <c r="I16" s="54">
        <f>IF(AND('(2) Family Pension'!$J$5="Yes",J$8&gt;0),ROUND(J$8*H16*0.0035,0),IF(H$6&gt;0,ROUND(H$6*H16*0.0035,0),0))</f>
        <v>0</v>
      </c>
      <c r="J16" s="62">
        <f>IF(AND('(2) Family Pension'!$J$5="Yes",$D16&gt;0),J$8+I16,IF($D16&gt;0,H$7+I16,0))</f>
        <v>0</v>
      </c>
      <c r="K16" s="60"/>
      <c r="L16" s="61"/>
      <c r="M16" s="62"/>
      <c r="N16" s="60"/>
      <c r="O16" s="61"/>
      <c r="P16" s="62"/>
      <c r="Q16" s="60"/>
      <c r="R16" s="61"/>
      <c r="S16" s="62"/>
      <c r="T16" s="60"/>
      <c r="U16" s="61"/>
      <c r="V16" s="6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.75" x14ac:dyDescent="0.25">
      <c r="A17" s="42">
        <v>7</v>
      </c>
      <c r="B17" s="43">
        <v>1996</v>
      </c>
      <c r="C17" s="44" t="s">
        <v>41</v>
      </c>
      <c r="D17" s="45">
        <v>1616</v>
      </c>
      <c r="E17" s="53">
        <f t="shared" si="0"/>
        <v>0</v>
      </c>
      <c r="F17" s="54">
        <f>IF(AND('(2) Family Pension'!$J$5="Yes",G$8&gt;0),ROUND(G$8*E17*0.0067,0),IF(E$6&gt;0,ROUND(E$6*E17*0.0067,0),0))</f>
        <v>0</v>
      </c>
      <c r="G17" s="62">
        <f>IF(AND('(2) Family Pension'!$J$5="Yes",$D17&gt;0),G$8+F17,IF($D17&gt;0,E$7+F17,0))</f>
        <v>0</v>
      </c>
      <c r="H17" s="58">
        <f t="shared" si="1"/>
        <v>0</v>
      </c>
      <c r="I17" s="54">
        <f>IF(AND('(2) Family Pension'!$J$5="Yes",J$8&gt;0),ROUND(J$8*H17*0.0035,0),IF(H$6&gt;0,ROUND(H$6*H17*0.0035,0),0))</f>
        <v>0</v>
      </c>
      <c r="J17" s="62">
        <f>IF(AND('(2) Family Pension'!$J$5="Yes",$D17&gt;0),J$8+I17,IF($D17&gt;0,H$7+I17,0))</f>
        <v>0</v>
      </c>
      <c r="K17" s="60"/>
      <c r="L17" s="61"/>
      <c r="M17" s="62"/>
      <c r="N17" s="60"/>
      <c r="O17" s="61"/>
      <c r="P17" s="62"/>
      <c r="Q17" s="60"/>
      <c r="R17" s="61"/>
      <c r="S17" s="62"/>
      <c r="T17" s="60"/>
      <c r="U17" s="61"/>
      <c r="V17" s="6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.75" x14ac:dyDescent="0.25">
      <c r="A18" s="42">
        <v>8</v>
      </c>
      <c r="B18" s="43">
        <v>1997</v>
      </c>
      <c r="C18" s="44" t="s">
        <v>40</v>
      </c>
      <c r="D18" s="45">
        <v>1716</v>
      </c>
      <c r="E18" s="53">
        <f t="shared" si="0"/>
        <v>0</v>
      </c>
      <c r="F18" s="54">
        <f>IF(AND('(2) Family Pension'!$J$5="Yes",G$8&gt;0),ROUND(G$8*E18*0.0067,0),IF(E$6&gt;0,ROUND(E$6*E18*0.0067,0),0))</f>
        <v>0</v>
      </c>
      <c r="G18" s="62">
        <f>IF(AND('(2) Family Pension'!$J$5="Yes",$D18&gt;0),G$8+F18,IF($D18&gt;0,E$7+F18,0))</f>
        <v>0</v>
      </c>
      <c r="H18" s="58">
        <f t="shared" si="1"/>
        <v>0</v>
      </c>
      <c r="I18" s="54">
        <f>IF(AND('(2) Family Pension'!$J$5="Yes",J$8&gt;0),ROUND(J$8*H18*0.0035,0),IF(H$6&gt;0,ROUND(H$6*H18*0.0035,0),0))</f>
        <v>0</v>
      </c>
      <c r="J18" s="62">
        <f>IF(AND('(2) Family Pension'!$J$5="Yes",$D18&gt;0),J$8+I18,IF($D18&gt;0,H$7+I18,0))</f>
        <v>0</v>
      </c>
      <c r="K18" s="60"/>
      <c r="L18" s="61"/>
      <c r="M18" s="62"/>
      <c r="N18" s="60"/>
      <c r="O18" s="61"/>
      <c r="P18" s="62"/>
      <c r="Q18" s="60"/>
      <c r="R18" s="61"/>
      <c r="S18" s="62"/>
      <c r="T18" s="60"/>
      <c r="U18" s="61"/>
      <c r="V18" s="6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.75" x14ac:dyDescent="0.25">
      <c r="A19" s="42">
        <v>9</v>
      </c>
      <c r="B19" s="43">
        <v>1997</v>
      </c>
      <c r="C19" s="44" t="s">
        <v>41</v>
      </c>
      <c r="D19" s="45">
        <v>1740</v>
      </c>
      <c r="E19" s="53">
        <f t="shared" si="0"/>
        <v>0</v>
      </c>
      <c r="F19" s="54">
        <f>IF(AND('(2) Family Pension'!$J$5="Yes",G$8&gt;0),ROUND(G$8*E19*0.0067,0),IF(E$6&gt;0,ROUND(E$6*E19*0.0067,0),0))</f>
        <v>0</v>
      </c>
      <c r="G19" s="62">
        <f>IF(AND('(2) Family Pension'!$J$5="Yes",$D19&gt;0),G$8+F19,IF($D19&gt;0,E$7+F19,0))</f>
        <v>0</v>
      </c>
      <c r="H19" s="58">
        <f t="shared" si="1"/>
        <v>0</v>
      </c>
      <c r="I19" s="54">
        <f>IF(AND('(2) Family Pension'!$J$5="Yes",J$8&gt;0),ROUND(J$8*H19*0.0035,0),IF(H$6&gt;0,ROUND(H$6*H19*0.0035,0),0))</f>
        <v>0</v>
      </c>
      <c r="J19" s="62">
        <f>IF(AND('(2) Family Pension'!$J$5="Yes",$D19&gt;0),J$8+I19,IF($D19&gt;0,H$7+I19,0))</f>
        <v>0</v>
      </c>
      <c r="K19" s="58">
        <f>IF(AND($A$4="C",$D19&gt;0),ROUND(($D19-1740)/4,0),0)</f>
        <v>0</v>
      </c>
      <c r="L19" s="54">
        <f>IF(AND('(2) Family Pension'!$J$5="Yes",M$8&gt;0),ROUND(M$8*K19*0.0023,0),IF(K$6&gt;0,ROUND(K$6*K19*0.0023,0),0))</f>
        <v>0</v>
      </c>
      <c r="M19" s="62">
        <f>IF(AND('(2) Family Pension'!$J$5="Yes",$D19&gt;0),M$8+L19,IF($D19&gt;0,K$7+L19,0))</f>
        <v>0</v>
      </c>
      <c r="N19" s="60"/>
      <c r="O19" s="61"/>
      <c r="P19" s="62"/>
      <c r="Q19" s="60"/>
      <c r="R19" s="61"/>
      <c r="S19" s="62"/>
      <c r="T19" s="60"/>
      <c r="U19" s="61"/>
      <c r="V19" s="6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.75" x14ac:dyDescent="0.25">
      <c r="A20" s="42">
        <v>10</v>
      </c>
      <c r="B20" s="43">
        <v>1998</v>
      </c>
      <c r="C20" s="44" t="s">
        <v>40</v>
      </c>
      <c r="D20" s="45">
        <v>1812</v>
      </c>
      <c r="E20" s="53">
        <f t="shared" si="0"/>
        <v>0</v>
      </c>
      <c r="F20" s="54">
        <f>IF(AND('(2) Family Pension'!$J$5="Yes",G$8&gt;0),ROUND(G$8*E20*0.0067,0),IF(E$6&gt;0,ROUND(E$6*E20*0.0067,0),0))</f>
        <v>0</v>
      </c>
      <c r="G20" s="62">
        <f>IF(AND('(2) Family Pension'!$J$5="Yes",$D20&gt;0),G$8+F20,IF($D20&gt;0,E$7+F20,0))</f>
        <v>0</v>
      </c>
      <c r="H20" s="58">
        <f t="shared" si="1"/>
        <v>0</v>
      </c>
      <c r="I20" s="54">
        <f>IF(AND('(2) Family Pension'!$J$5="Yes",J$8&gt;0),ROUND(J$8*H20*0.0035,0),IF(H$6&gt;0,ROUND(H$6*H20*0.0035,0),0))</f>
        <v>0</v>
      </c>
      <c r="J20" s="62">
        <f>IF(AND('(2) Family Pension'!$J$5="Yes",$D20&gt;0),J$8+I20,IF($D20&gt;0,H$7+I20,0))</f>
        <v>0</v>
      </c>
      <c r="K20" s="58">
        <f t="shared" ref="K20:K75" si="2">IF(AND($A$4="C",$D20&gt;0),ROUND(($D20-1740)/4,0),0)</f>
        <v>0</v>
      </c>
      <c r="L20" s="54">
        <f>IF(AND('(2) Family Pension'!$J$5="Yes",M$8&gt;0),ROUND(M$8*K20*0.0023,0),IF(K$6&gt;0,ROUND(K$6*K20*0.0023,0),0))</f>
        <v>0</v>
      </c>
      <c r="M20" s="62">
        <f>IF(AND('(2) Family Pension'!$J$5="Yes",$D20&gt;0),M$8+L20,IF($D20&gt;0,K$7+L20,0))</f>
        <v>0</v>
      </c>
      <c r="N20" s="60"/>
      <c r="O20" s="61"/>
      <c r="P20" s="62"/>
      <c r="Q20" s="60"/>
      <c r="R20" s="61"/>
      <c r="S20" s="62"/>
      <c r="T20" s="60"/>
      <c r="U20" s="61"/>
      <c r="V20" s="6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.75" x14ac:dyDescent="0.25">
      <c r="A21" s="42">
        <v>11</v>
      </c>
      <c r="B21" s="43">
        <v>1998</v>
      </c>
      <c r="C21" s="44" t="s">
        <v>41</v>
      </c>
      <c r="D21" s="45">
        <v>1924</v>
      </c>
      <c r="E21" s="53">
        <f t="shared" si="0"/>
        <v>0</v>
      </c>
      <c r="F21" s="54">
        <f>IF(AND('(2) Family Pension'!$J$5="Yes",G$8&gt;0),ROUND(G$8*E21*0.0067,0),IF(E$6&gt;0,ROUND(E$6*E21*0.0067,0),0))</f>
        <v>0</v>
      </c>
      <c r="G21" s="62">
        <f>IF(AND('(2) Family Pension'!$J$5="Yes",$D21&gt;0),G$8+F21,IF($D21&gt;0,E$7+F21,0))</f>
        <v>0</v>
      </c>
      <c r="H21" s="58">
        <f t="shared" si="1"/>
        <v>0</v>
      </c>
      <c r="I21" s="54">
        <f>IF(AND('(2) Family Pension'!$J$5="Yes",J$8&gt;0),ROUND(J$8*H21*0.0035,0),IF(H$6&gt;0,ROUND(H$6*H21*0.0035,0),0))</f>
        <v>0</v>
      </c>
      <c r="J21" s="62">
        <f>IF(AND('(2) Family Pension'!$J$5="Yes",$D21&gt;0),J$8+I21,IF($D21&gt;0,H$7+I21,0))</f>
        <v>0</v>
      </c>
      <c r="K21" s="58">
        <f t="shared" si="2"/>
        <v>0</v>
      </c>
      <c r="L21" s="54">
        <f>IF(AND('(2) Family Pension'!$J$5="Yes",M$8&gt;0),ROUND(M$8*K21*0.0023,0),IF(K$6&gt;0,ROUND(K$6*K21*0.0023,0),0))</f>
        <v>0</v>
      </c>
      <c r="M21" s="62">
        <f>IF(AND('(2) Family Pension'!$J$5="Yes",$D21&gt;0),M$8+L21,IF($D21&gt;0,K$7+L21,0))</f>
        <v>0</v>
      </c>
      <c r="N21" s="60"/>
      <c r="O21" s="61"/>
      <c r="P21" s="62"/>
      <c r="Q21" s="60"/>
      <c r="R21" s="61"/>
      <c r="S21" s="62"/>
      <c r="T21" s="60"/>
      <c r="U21" s="61"/>
      <c r="V21" s="6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.75" x14ac:dyDescent="0.25">
      <c r="A22" s="42">
        <v>12</v>
      </c>
      <c r="B22" s="43">
        <v>1999</v>
      </c>
      <c r="C22" s="44" t="s">
        <v>40</v>
      </c>
      <c r="D22" s="45">
        <v>2136</v>
      </c>
      <c r="E22" s="53">
        <f t="shared" si="0"/>
        <v>0</v>
      </c>
      <c r="F22" s="54">
        <f>IF(AND('(2) Family Pension'!$J$5="Yes",G$8&gt;0),ROUND(G$8*E22*0.0067,0),IF(E$6&gt;0,ROUND(E$6*E22*0.0067,0),0))</f>
        <v>0</v>
      </c>
      <c r="G22" s="62">
        <f>IF(AND('(2) Family Pension'!$J$5="Yes",$D22&gt;0),G$8+F22,IF($D22&gt;0,E$7+F22,0))</f>
        <v>0</v>
      </c>
      <c r="H22" s="58">
        <f t="shared" si="1"/>
        <v>0</v>
      </c>
      <c r="I22" s="54">
        <f>IF(AND('(2) Family Pension'!$J$5="Yes",J$8&gt;0),ROUND(J$8*H22*0.0035,0),IF(H$6&gt;0,ROUND(H$6*H22*0.0035,0),0))</f>
        <v>0</v>
      </c>
      <c r="J22" s="62">
        <f>IF(AND('(2) Family Pension'!$J$5="Yes",$D22&gt;0),J$8+I22,IF($D22&gt;0,H$7+I22,0))</f>
        <v>0</v>
      </c>
      <c r="K22" s="58">
        <f t="shared" si="2"/>
        <v>0</v>
      </c>
      <c r="L22" s="54">
        <f>IF(AND('(2) Family Pension'!$J$5="Yes",M$8&gt;0),ROUND(M$8*K22*0.0023,0),IF(K$6&gt;0,ROUND(K$6*K22*0.0023,0),0))</f>
        <v>0</v>
      </c>
      <c r="M22" s="62">
        <f>IF(AND('(2) Family Pension'!$J$5="Yes",$D22&gt;0),M$8+L22,IF($D22&gt;0,K$7+L22,0))</f>
        <v>0</v>
      </c>
      <c r="N22" s="60"/>
      <c r="O22" s="61"/>
      <c r="P22" s="62"/>
      <c r="Q22" s="60"/>
      <c r="R22" s="61"/>
      <c r="S22" s="62"/>
      <c r="T22" s="60"/>
      <c r="U22" s="61"/>
      <c r="V22" s="6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x14ac:dyDescent="0.25">
      <c r="A23" s="42">
        <v>13</v>
      </c>
      <c r="B23" s="43">
        <v>1999</v>
      </c>
      <c r="C23" s="44" t="s">
        <v>41</v>
      </c>
      <c r="D23" s="45">
        <v>2060</v>
      </c>
      <c r="E23" s="53">
        <f t="shared" si="0"/>
        <v>0</v>
      </c>
      <c r="F23" s="54">
        <f>IF(AND('(2) Family Pension'!$J$5="Yes",G$8&gt;0),ROUND(G$8*E23*0.0067,0),IF(E$6&gt;0,ROUND(E$6*E23*0.0067,0),0))</f>
        <v>0</v>
      </c>
      <c r="G23" s="62">
        <f>IF(AND('(2) Family Pension'!$J$5="Yes",$D23&gt;0),G$8+F23,IF($D23&gt;0,E$7+F23,0))</f>
        <v>0</v>
      </c>
      <c r="H23" s="58">
        <f t="shared" si="1"/>
        <v>0</v>
      </c>
      <c r="I23" s="54">
        <f>IF(AND('(2) Family Pension'!$J$5="Yes",J$8&gt;0),ROUND(J$8*H23*0.0035,0),IF(H$6&gt;0,ROUND(H$6*H23*0.0035,0),0))</f>
        <v>0</v>
      </c>
      <c r="J23" s="62">
        <f>IF(AND('(2) Family Pension'!$J$5="Yes",$D23&gt;0),J$8+I23,IF($D23&gt;0,H$7+I23,0))</f>
        <v>0</v>
      </c>
      <c r="K23" s="58">
        <f t="shared" si="2"/>
        <v>0</v>
      </c>
      <c r="L23" s="54">
        <f>IF(AND('(2) Family Pension'!$J$5="Yes",M$8&gt;0),ROUND(M$8*K23*0.0023,0),IF(K$6&gt;0,ROUND(K$6*K23*0.0023,0),0))</f>
        <v>0</v>
      </c>
      <c r="M23" s="62">
        <f>IF(AND('(2) Family Pension'!$J$5="Yes",$D23&gt;0),M$8+L23,IF($D23&gt;0,K$7+L23,0))</f>
        <v>0</v>
      </c>
      <c r="N23" s="60"/>
      <c r="O23" s="61"/>
      <c r="P23" s="62"/>
      <c r="Q23" s="60"/>
      <c r="R23" s="61"/>
      <c r="S23" s="62"/>
      <c r="T23" s="60"/>
      <c r="U23" s="61"/>
      <c r="V23" s="6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x14ac:dyDescent="0.25">
      <c r="A24" s="42">
        <v>14</v>
      </c>
      <c r="B24" s="43">
        <v>2000</v>
      </c>
      <c r="C24" s="44" t="s">
        <v>40</v>
      </c>
      <c r="D24" s="45">
        <v>2144</v>
      </c>
      <c r="E24" s="53">
        <f t="shared" si="0"/>
        <v>0</v>
      </c>
      <c r="F24" s="54">
        <f>IF(AND('(2) Family Pension'!$J$5="Yes",G$8&gt;0),ROUND(G$8*E24*0.0067,0),IF(E$6&gt;0,ROUND(E$6*E24*0.0067,0),0))</f>
        <v>0</v>
      </c>
      <c r="G24" s="62">
        <f>IF(AND('(2) Family Pension'!$J$5="Yes",$D24&gt;0),G$8+F24,IF($D24&gt;0,E$7+F24,0))</f>
        <v>0</v>
      </c>
      <c r="H24" s="58">
        <f t="shared" si="1"/>
        <v>0</v>
      </c>
      <c r="I24" s="54">
        <f>IF(AND('(2) Family Pension'!$J$5="Yes",J$8&gt;0),ROUND(J$8*H24*0.0035,0),IF(H$6&gt;0,ROUND(H$6*H24*0.0035,0),0))</f>
        <v>0</v>
      </c>
      <c r="J24" s="62">
        <f>IF(AND('(2) Family Pension'!$J$5="Yes",$D24&gt;0),J$8+I24,IF($D24&gt;0,H$7+I24,0))</f>
        <v>0</v>
      </c>
      <c r="K24" s="58">
        <f t="shared" si="2"/>
        <v>0</v>
      </c>
      <c r="L24" s="54">
        <f>IF(AND('(2) Family Pension'!$J$5="Yes",M$8&gt;0),ROUND(M$8*K24*0.0023,0),IF(K$6&gt;0,ROUND(K$6*K24*0.0023,0),0))</f>
        <v>0</v>
      </c>
      <c r="M24" s="62">
        <f>IF(AND('(2) Family Pension'!$J$5="Yes",$D24&gt;0),M$8+L24,IF($D24&gt;0,K$7+L24,0))</f>
        <v>0</v>
      </c>
      <c r="N24" s="60"/>
      <c r="O24" s="61"/>
      <c r="P24" s="62"/>
      <c r="Q24" s="60"/>
      <c r="R24" s="61"/>
      <c r="S24" s="62"/>
      <c r="T24" s="60"/>
      <c r="U24" s="61"/>
      <c r="V24" s="6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.75" x14ac:dyDescent="0.25">
      <c r="A25" s="42">
        <v>15</v>
      </c>
      <c r="B25" s="43">
        <v>2000</v>
      </c>
      <c r="C25" s="44" t="s">
        <v>41</v>
      </c>
      <c r="D25" s="45">
        <v>2168</v>
      </c>
      <c r="E25" s="53">
        <f t="shared" si="0"/>
        <v>0</v>
      </c>
      <c r="F25" s="54">
        <f>IF(AND('(2) Family Pension'!$J$5="Yes",G$8&gt;0),ROUND(G$8*E25*0.0067,0),IF(E$6&gt;0,ROUND(E$6*E25*0.0067,0),0))</f>
        <v>0</v>
      </c>
      <c r="G25" s="62">
        <f>IF(AND('(2) Family Pension'!$J$5="Yes",$D25&gt;0),G$8+F25,IF($D25&gt;0,E$7+F25,0))</f>
        <v>0</v>
      </c>
      <c r="H25" s="58">
        <f t="shared" si="1"/>
        <v>0</v>
      </c>
      <c r="I25" s="54">
        <f>IF(AND('(2) Family Pension'!$J$5="Yes",J$8&gt;0),ROUND(J$8*H25*0.0035,0),IF(H$6&gt;0,ROUND(H$6*H25*0.0035,0),0))</f>
        <v>0</v>
      </c>
      <c r="J25" s="62">
        <f>IF(AND('(2) Family Pension'!$J$5="Yes",$D25&gt;0),J$8+I25,IF($D25&gt;0,H$7+I25,0))</f>
        <v>0</v>
      </c>
      <c r="K25" s="58">
        <f t="shared" si="2"/>
        <v>0</v>
      </c>
      <c r="L25" s="54">
        <f>IF(AND('(2) Family Pension'!$J$5="Yes",M$8&gt;0),ROUND(M$8*K25*0.0023,0),IF(K$6&gt;0,ROUND(K$6*K25*0.0023,0),0))</f>
        <v>0</v>
      </c>
      <c r="M25" s="62">
        <f>IF(AND('(2) Family Pension'!$J$5="Yes",$D25&gt;0),M$8+L25,IF($D25&gt;0,K$7+L25,0))</f>
        <v>0</v>
      </c>
      <c r="N25" s="60"/>
      <c r="O25" s="61"/>
      <c r="P25" s="62"/>
      <c r="Q25" s="60"/>
      <c r="R25" s="61"/>
      <c r="S25" s="62"/>
      <c r="T25" s="60"/>
      <c r="U25" s="61"/>
      <c r="V25" s="6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.75" x14ac:dyDescent="0.25">
      <c r="A26" s="42">
        <v>16</v>
      </c>
      <c r="B26" s="43">
        <v>2001</v>
      </c>
      <c r="C26" s="44" t="s">
        <v>40</v>
      </c>
      <c r="D26" s="45">
        <v>2208</v>
      </c>
      <c r="E26" s="53">
        <f t="shared" si="0"/>
        <v>0</v>
      </c>
      <c r="F26" s="54">
        <f>IF(AND('(2) Family Pension'!$J$5="Yes",G$8&gt;0),ROUND(G$8*E26*0.0067,0),IF(E$6&gt;0,ROUND(E$6*E26*0.0067,0),0))</f>
        <v>0</v>
      </c>
      <c r="G26" s="62">
        <f>IF(AND('(2) Family Pension'!$J$5="Yes",$D26&gt;0),G$8+F26,IF($D26&gt;0,E$7+F26,0))</f>
        <v>0</v>
      </c>
      <c r="H26" s="58">
        <f t="shared" si="1"/>
        <v>0</v>
      </c>
      <c r="I26" s="54">
        <f>IF(AND('(2) Family Pension'!$J$5="Yes",J$8&gt;0),ROUND(J$8*H26*0.0035,0),IF(H$6&gt;0,ROUND(H$6*H26*0.0035,0),0))</f>
        <v>0</v>
      </c>
      <c r="J26" s="62">
        <f>IF(AND('(2) Family Pension'!$J$5="Yes",$D26&gt;0),J$8+I26,IF($D26&gt;0,H$7+I26,0))</f>
        <v>0</v>
      </c>
      <c r="K26" s="58">
        <f t="shared" si="2"/>
        <v>0</v>
      </c>
      <c r="L26" s="54">
        <f>IF(AND('(2) Family Pension'!$J$5="Yes",M$8&gt;0),ROUND(M$8*K26*0.0023,0),IF(K$6&gt;0,ROUND(K$6*K26*0.0023,0),0))</f>
        <v>0</v>
      </c>
      <c r="M26" s="62">
        <f>IF(AND('(2) Family Pension'!$J$5="Yes",$D26&gt;0),M$8+L26,IF($D26&gt;0,K$7+L26,0))</f>
        <v>0</v>
      </c>
      <c r="N26" s="60"/>
      <c r="O26" s="61"/>
      <c r="P26" s="62"/>
      <c r="Q26" s="60"/>
      <c r="R26" s="61"/>
      <c r="S26" s="62"/>
      <c r="T26" s="60"/>
      <c r="U26" s="61"/>
      <c r="V26" s="6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.75" x14ac:dyDescent="0.25">
      <c r="A27" s="42">
        <v>17</v>
      </c>
      <c r="B27" s="43">
        <v>2001</v>
      </c>
      <c r="C27" s="44" t="s">
        <v>41</v>
      </c>
      <c r="D27" s="45">
        <v>2228</v>
      </c>
      <c r="E27" s="53">
        <f t="shared" si="0"/>
        <v>0</v>
      </c>
      <c r="F27" s="54">
        <f>IF(AND('(2) Family Pension'!$J$5="Yes",G$8&gt;0),ROUND(G$8*E27*0.0067,0),IF(E$6&gt;0,ROUND(E$6*E27*0.0067,0),0))</f>
        <v>0</v>
      </c>
      <c r="G27" s="62">
        <f>IF(AND('(2) Family Pension'!$J$5="Yes",$D27&gt;0),G$8+F27,IF($D27&gt;0,E$7+F27,0))</f>
        <v>0</v>
      </c>
      <c r="H27" s="58">
        <f t="shared" si="1"/>
        <v>0</v>
      </c>
      <c r="I27" s="54">
        <f>IF(AND('(2) Family Pension'!$J$5="Yes",J$8&gt;0),ROUND(J$8*H27*0.0035,0),IF(H$6&gt;0,ROUND(H$6*H27*0.0035,0),0))</f>
        <v>0</v>
      </c>
      <c r="J27" s="62">
        <f>IF(AND('(2) Family Pension'!$J$5="Yes",$D27&gt;0),J$8+I27,IF($D27&gt;0,H$7+I27,0))</f>
        <v>0</v>
      </c>
      <c r="K27" s="58">
        <f t="shared" si="2"/>
        <v>0</v>
      </c>
      <c r="L27" s="54">
        <f>IF(AND('(2) Family Pension'!$J$5="Yes",M$8&gt;0),ROUND(M$8*K27*0.0023,0),IF(K$6&gt;0,ROUND(K$6*K27*0.0023,0),0))</f>
        <v>0</v>
      </c>
      <c r="M27" s="62">
        <f>IF(AND('(2) Family Pension'!$J$5="Yes",$D27&gt;0),M$8+L27,IF($D27&gt;0,K$7+L27,0))</f>
        <v>0</v>
      </c>
      <c r="N27" s="60"/>
      <c r="O27" s="61"/>
      <c r="P27" s="62"/>
      <c r="Q27" s="60"/>
      <c r="R27" s="61"/>
      <c r="S27" s="62"/>
      <c r="T27" s="60"/>
      <c r="U27" s="61"/>
      <c r="V27" s="6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.75" x14ac:dyDescent="0.25">
      <c r="A28" s="42">
        <v>18</v>
      </c>
      <c r="B28" s="43">
        <v>2002</v>
      </c>
      <c r="C28" s="44" t="s">
        <v>40</v>
      </c>
      <c r="D28" s="45">
        <v>2315</v>
      </c>
      <c r="E28" s="53">
        <f t="shared" si="0"/>
        <v>0</v>
      </c>
      <c r="F28" s="54">
        <f>IF(AND('(2) Family Pension'!$J$5="Yes",G$8&gt;0),ROUND(G$8*E28*0.0067,0),IF(E$6&gt;0,ROUND(E$6*E28*0.0067,0),0))</f>
        <v>0</v>
      </c>
      <c r="G28" s="62">
        <f>IF(AND('(2) Family Pension'!$J$5="Yes",$D28&gt;0),G$8+F28,IF($D28&gt;0,E$7+F28,0))</f>
        <v>0</v>
      </c>
      <c r="H28" s="58">
        <f t="shared" si="1"/>
        <v>0</v>
      </c>
      <c r="I28" s="54">
        <f>IF(AND('(2) Family Pension'!$J$5="Yes",J$8&gt;0),ROUND(J$8*H28*0.0035,0),IF(H$6&gt;0,ROUND(H$6*H28*0.0035,0),0))</f>
        <v>0</v>
      </c>
      <c r="J28" s="62">
        <f>IF(AND('(2) Family Pension'!$J$5="Yes",$D28&gt;0),J$8+I28,IF($D28&gt;0,H$7+I28,0))</f>
        <v>0</v>
      </c>
      <c r="K28" s="58">
        <f t="shared" si="2"/>
        <v>0</v>
      </c>
      <c r="L28" s="54">
        <f>IF(AND('(2) Family Pension'!$J$5="Yes",M$8&gt;0),ROUND(M$8*K28*0.0023,0),IF(K$6&gt;0,ROUND(K$6*K28*0.0023,0),0))</f>
        <v>0</v>
      </c>
      <c r="M28" s="62">
        <f>IF(AND('(2) Family Pension'!$J$5="Yes",$D28&gt;0),M$8+L28,IF($D28&gt;0,K$7+L28,0))</f>
        <v>0</v>
      </c>
      <c r="N28" s="60"/>
      <c r="O28" s="61"/>
      <c r="P28" s="62"/>
      <c r="Q28" s="60"/>
      <c r="R28" s="61"/>
      <c r="S28" s="62"/>
      <c r="T28" s="60"/>
      <c r="U28" s="61"/>
      <c r="V28" s="6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.75" x14ac:dyDescent="0.25">
      <c r="A29" s="42">
        <v>19</v>
      </c>
      <c r="B29" s="43">
        <v>2002</v>
      </c>
      <c r="C29" s="44" t="s">
        <v>41</v>
      </c>
      <c r="D29" s="45">
        <v>2328</v>
      </c>
      <c r="E29" s="53">
        <f t="shared" si="0"/>
        <v>0</v>
      </c>
      <c r="F29" s="54">
        <f>IF(AND('(2) Family Pension'!$J$5="Yes",G$8&gt;0),ROUND(G$8*E29*0.0067,0),IF(E$6&gt;0,ROUND(E$6*E29*0.0067,0),0))</f>
        <v>0</v>
      </c>
      <c r="G29" s="62">
        <f>IF(AND('(2) Family Pension'!$J$5="Yes",$D29&gt;0),G$8+F29,IF($D29&gt;0,E$7+F29,0))</f>
        <v>0</v>
      </c>
      <c r="H29" s="58">
        <f t="shared" si="1"/>
        <v>0</v>
      </c>
      <c r="I29" s="54">
        <f>IF(AND('(2) Family Pension'!$J$5="Yes",J$8&gt;0),ROUND(J$8*H29*0.0035,0),IF(H$6&gt;0,ROUND(H$6*H29*0.0035,0),0))</f>
        <v>0</v>
      </c>
      <c r="J29" s="62">
        <f>IF(AND('(2) Family Pension'!$J$5="Yes",$D29&gt;0),J$8+I29,IF($D29&gt;0,H$7+I29,0))</f>
        <v>0</v>
      </c>
      <c r="K29" s="58">
        <f t="shared" si="2"/>
        <v>0</v>
      </c>
      <c r="L29" s="54">
        <f>IF(AND('(2) Family Pension'!$J$5="Yes",M$8&gt;0),ROUND(M$8*K29*0.0023,0),IF(K$6&gt;0,ROUND(K$6*K29*0.0023,0),0))</f>
        <v>0</v>
      </c>
      <c r="M29" s="62">
        <f>IF(AND('(2) Family Pension'!$J$5="Yes",$D29&gt;0),M$8+L29,IF($D29&gt;0,K$7+L29,0))</f>
        <v>0</v>
      </c>
      <c r="N29" s="58">
        <f>IF(AND($A$4="D",$D29&gt;0),ROUND(($D29-2328)/4,0),0)</f>
        <v>0</v>
      </c>
      <c r="O29" s="54">
        <f>IF(AND('(2) Family Pension'!$J$5="Yes",P$8&gt;0),ROUND(P$8*N29*0.0018,0),IF(N$6&gt;0,ROUND(N$6*N29*0.0018,0),0))</f>
        <v>0</v>
      </c>
      <c r="P29" s="62">
        <f>IF(AND('(2) Family Pension'!$J$5="Yes",$D29&gt;0),P$8+O29,IF($D29&gt;0,N$7+O29,0))</f>
        <v>0</v>
      </c>
      <c r="Q29" s="60"/>
      <c r="R29" s="61"/>
      <c r="S29" s="62"/>
      <c r="T29" s="60"/>
      <c r="U29" s="61"/>
      <c r="V29" s="6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.75" x14ac:dyDescent="0.25">
      <c r="A30" s="42">
        <v>20</v>
      </c>
      <c r="B30" s="43">
        <v>2003</v>
      </c>
      <c r="C30" s="44" t="s">
        <v>40</v>
      </c>
      <c r="D30" s="45">
        <v>2399</v>
      </c>
      <c r="E30" s="53">
        <f t="shared" si="0"/>
        <v>0</v>
      </c>
      <c r="F30" s="54">
        <f>IF(AND('(2) Family Pension'!$J$5="Yes",G$8&gt;0),ROUND(G$8*E30*0.0067,0),IF(E$6&gt;0,ROUND(E$6*E30*0.0067,0),0))</f>
        <v>0</v>
      </c>
      <c r="G30" s="62">
        <f>IF(AND('(2) Family Pension'!$J$5="Yes",$D30&gt;0),G$8+F30,IF($D30&gt;0,E$7+F30,0))</f>
        <v>0</v>
      </c>
      <c r="H30" s="58">
        <f t="shared" si="1"/>
        <v>0</v>
      </c>
      <c r="I30" s="54">
        <f>IF(AND('(2) Family Pension'!$J$5="Yes",J$8&gt;0),ROUND(J$8*H30*0.0035,0),IF(H$6&gt;0,ROUND(H$6*H30*0.0035,0),0))</f>
        <v>0</v>
      </c>
      <c r="J30" s="62">
        <f>IF(AND('(2) Family Pension'!$J$5="Yes",$D30&gt;0),J$8+I30,IF($D30&gt;0,H$7+I30,0))</f>
        <v>0</v>
      </c>
      <c r="K30" s="58">
        <f t="shared" si="2"/>
        <v>0</v>
      </c>
      <c r="L30" s="54">
        <f>IF(AND('(2) Family Pension'!$J$5="Yes",M$8&gt;0),ROUND(M$8*K30*0.0023,0),IF(K$6&gt;0,ROUND(K$6*K30*0.0023,0),0))</f>
        <v>0</v>
      </c>
      <c r="M30" s="62">
        <f>IF(AND('(2) Family Pension'!$J$5="Yes",$D30&gt;0),M$8+L30,IF($D30&gt;0,K$7+L30,0))</f>
        <v>0</v>
      </c>
      <c r="N30" s="58">
        <f t="shared" ref="N30:N75" si="3">IF(AND($A$4="D",$D30&gt;0),ROUND(($D30-2328)/4,0),0)</f>
        <v>0</v>
      </c>
      <c r="O30" s="54">
        <f>IF(AND('(2) Family Pension'!$J$5="Yes",P$8&gt;0),ROUND(P$8*N30*0.0018,0),IF(N$6&gt;0,ROUND(N$6*N30*0.0018,0),0))</f>
        <v>0</v>
      </c>
      <c r="P30" s="62">
        <f>IF(AND('(2) Family Pension'!$J$5="Yes",$D30&gt;0),P$8+O30,IF($D30&gt;0,N$7+O30,0))</f>
        <v>0</v>
      </c>
      <c r="Q30" s="60"/>
      <c r="R30" s="61"/>
      <c r="S30" s="62"/>
      <c r="T30" s="60"/>
      <c r="U30" s="61"/>
      <c r="V30" s="6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.75" x14ac:dyDescent="0.25">
      <c r="A31" s="42">
        <v>21</v>
      </c>
      <c r="B31" s="43">
        <v>2003</v>
      </c>
      <c r="C31" s="44" t="s">
        <v>41</v>
      </c>
      <c r="D31" s="45">
        <v>2436</v>
      </c>
      <c r="E31" s="53">
        <f t="shared" si="0"/>
        <v>0</v>
      </c>
      <c r="F31" s="54">
        <f>IF(AND('(2) Family Pension'!$J$5="Yes",G$8&gt;0),ROUND(G$8*E31*0.0067,0),IF(E$6&gt;0,ROUND(E$6*E31*0.0067,0),0))</f>
        <v>0</v>
      </c>
      <c r="G31" s="62">
        <f>IF(AND('(2) Family Pension'!$J$5="Yes",$D31&gt;0),G$8+F31,IF($D31&gt;0,E$7+F31,0))</f>
        <v>0</v>
      </c>
      <c r="H31" s="58">
        <f t="shared" si="1"/>
        <v>0</v>
      </c>
      <c r="I31" s="54">
        <f>IF(AND('(2) Family Pension'!$J$5="Yes",J$8&gt;0),ROUND(J$8*H31*0.0035,0),IF(H$6&gt;0,ROUND(H$6*H31*0.0035,0),0))</f>
        <v>0</v>
      </c>
      <c r="J31" s="62">
        <f>IF(AND('(2) Family Pension'!$J$5="Yes",$D31&gt;0),J$8+I31,IF($D31&gt;0,H$7+I31,0))</f>
        <v>0</v>
      </c>
      <c r="K31" s="58">
        <f t="shared" si="2"/>
        <v>0</v>
      </c>
      <c r="L31" s="54">
        <f>IF(AND('(2) Family Pension'!$J$5="Yes",M$8&gt;0),ROUND(M$8*K31*0.0023,0),IF(K$6&gt;0,ROUND(K$6*K31*0.0023,0),0))</f>
        <v>0</v>
      </c>
      <c r="M31" s="62">
        <f>IF(AND('(2) Family Pension'!$J$5="Yes",$D31&gt;0),M$8+L31,IF($D31&gt;0,K$7+L31,0))</f>
        <v>0</v>
      </c>
      <c r="N31" s="58">
        <f t="shared" si="3"/>
        <v>0</v>
      </c>
      <c r="O31" s="54">
        <f>IF(AND('(2) Family Pension'!$J$5="Yes",P$8&gt;0),ROUND(P$8*N31*0.0018,0),IF(N$6&gt;0,ROUND(N$6*N31*0.0018,0),0))</f>
        <v>0</v>
      </c>
      <c r="P31" s="62">
        <f>IF(AND('(2) Family Pension'!$J$5="Yes",$D31&gt;0),P$8+O31,IF($D31&gt;0,N$7+O31,0))</f>
        <v>0</v>
      </c>
      <c r="Q31" s="60"/>
      <c r="R31" s="61"/>
      <c r="S31" s="62"/>
      <c r="T31" s="60"/>
      <c r="U31" s="61"/>
      <c r="V31" s="6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.75" x14ac:dyDescent="0.25">
      <c r="A32" s="42">
        <v>22</v>
      </c>
      <c r="B32" s="43">
        <v>2004</v>
      </c>
      <c r="C32" s="44" t="s">
        <v>40</v>
      </c>
      <c r="D32" s="45">
        <v>2476</v>
      </c>
      <c r="E32" s="53">
        <f t="shared" si="0"/>
        <v>0</v>
      </c>
      <c r="F32" s="54">
        <f>IF(AND('(2) Family Pension'!$J$5="Yes",G$8&gt;0),ROUND(G$8*E32*0.0067,0),IF(E$6&gt;0,ROUND(E$6*E32*0.0067,0),0))</f>
        <v>0</v>
      </c>
      <c r="G32" s="62">
        <f>IF(AND('(2) Family Pension'!$J$5="Yes",$D32&gt;0),G$8+F32,IF($D32&gt;0,E$7+F32,0))</f>
        <v>0</v>
      </c>
      <c r="H32" s="58">
        <f t="shared" si="1"/>
        <v>0</v>
      </c>
      <c r="I32" s="54">
        <f>IF(AND('(2) Family Pension'!$J$5="Yes",J$8&gt;0),ROUND(J$8*H32*0.0035,0),IF(H$6&gt;0,ROUND(H$6*H32*0.0035,0),0))</f>
        <v>0</v>
      </c>
      <c r="J32" s="62">
        <f>IF(AND('(2) Family Pension'!$J$5="Yes",$D32&gt;0),J$8+I32,IF($D32&gt;0,H$7+I32,0))</f>
        <v>0</v>
      </c>
      <c r="K32" s="58">
        <f t="shared" si="2"/>
        <v>0</v>
      </c>
      <c r="L32" s="54">
        <f>IF(AND('(2) Family Pension'!$J$5="Yes",M$8&gt;0),ROUND(M$8*K32*0.0023,0),IF(K$6&gt;0,ROUND(K$6*K32*0.0023,0),0))</f>
        <v>0</v>
      </c>
      <c r="M32" s="62">
        <f>IF(AND('(2) Family Pension'!$J$5="Yes",$D32&gt;0),M$8+L32,IF($D32&gt;0,K$7+L32,0))</f>
        <v>0</v>
      </c>
      <c r="N32" s="58">
        <f t="shared" si="3"/>
        <v>0</v>
      </c>
      <c r="O32" s="54">
        <f>IF(AND('(2) Family Pension'!$J$5="Yes",P$8&gt;0),ROUND(P$8*N32*0.0018,0),IF(N$6&gt;0,ROUND(N$6*N32*0.0018,0),0))</f>
        <v>0</v>
      </c>
      <c r="P32" s="62">
        <f>IF(AND('(2) Family Pension'!$J$5="Yes",$D32&gt;0),P$8+O32,IF($D32&gt;0,N$7+O32,0))</f>
        <v>0</v>
      </c>
      <c r="Q32" s="60"/>
      <c r="R32" s="61"/>
      <c r="S32" s="62"/>
      <c r="T32" s="60"/>
      <c r="U32" s="61"/>
      <c r="V32" s="6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.75" x14ac:dyDescent="0.25">
      <c r="A33" s="42">
        <v>23</v>
      </c>
      <c r="B33" s="43">
        <v>2004</v>
      </c>
      <c r="C33" s="44" t="s">
        <v>41</v>
      </c>
      <c r="D33" s="45">
        <v>2504</v>
      </c>
      <c r="E33" s="53">
        <f t="shared" si="0"/>
        <v>0</v>
      </c>
      <c r="F33" s="54">
        <f>IF(AND('(2) Family Pension'!$J$5="Yes",G$8&gt;0),ROUND(G$8*E33*0.0067,0),IF(E$6&gt;0,ROUND(E$6*E33*0.0067,0),0))</f>
        <v>0</v>
      </c>
      <c r="G33" s="62">
        <f>IF(AND('(2) Family Pension'!$J$5="Yes",$D33&gt;0),G$8+F33,IF($D33&gt;0,E$7+F33,0))</f>
        <v>0</v>
      </c>
      <c r="H33" s="58">
        <f t="shared" si="1"/>
        <v>0</v>
      </c>
      <c r="I33" s="54">
        <f>IF(AND('(2) Family Pension'!$J$5="Yes",J$8&gt;0),ROUND(J$8*H33*0.0035,0),IF(H$6&gt;0,ROUND(H$6*H33*0.0035,0),0))</f>
        <v>0</v>
      </c>
      <c r="J33" s="62">
        <f>IF(AND('(2) Family Pension'!$J$5="Yes",$D33&gt;0),J$8+I33,IF($D33&gt;0,H$7+I33,0))</f>
        <v>0</v>
      </c>
      <c r="K33" s="58">
        <f t="shared" si="2"/>
        <v>0</v>
      </c>
      <c r="L33" s="54">
        <f>IF(AND('(2) Family Pension'!$J$5="Yes",M$8&gt;0),ROUND(M$8*K33*0.0023,0),IF(K$6&gt;0,ROUND(K$6*K33*0.0023,0),0))</f>
        <v>0</v>
      </c>
      <c r="M33" s="62">
        <f>IF(AND('(2) Family Pension'!$J$5="Yes",$D33&gt;0),M$8+L33,IF($D33&gt;0,K$7+L33,0))</f>
        <v>0</v>
      </c>
      <c r="N33" s="58">
        <f t="shared" si="3"/>
        <v>0</v>
      </c>
      <c r="O33" s="54">
        <f>IF(AND('(2) Family Pension'!$J$5="Yes",P$8&gt;0),ROUND(P$8*N33*0.0018,0),IF(N$6&gt;0,ROUND(N$6*N33*0.0018,0),0))</f>
        <v>0</v>
      </c>
      <c r="P33" s="62">
        <f>IF(AND('(2) Family Pension'!$J$5="Yes",$D33&gt;0),P$8+O33,IF($D33&gt;0,N$7+O33,0))</f>
        <v>0</v>
      </c>
      <c r="Q33" s="60"/>
      <c r="R33" s="61"/>
      <c r="S33" s="62"/>
      <c r="T33" s="60"/>
      <c r="U33" s="61"/>
      <c r="V33" s="6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5.75" x14ac:dyDescent="0.25">
      <c r="A34" s="42">
        <v>24</v>
      </c>
      <c r="B34" s="43">
        <v>2005</v>
      </c>
      <c r="C34" s="44" t="s">
        <v>40</v>
      </c>
      <c r="D34" s="45">
        <v>2580</v>
      </c>
      <c r="E34" s="53">
        <f t="shared" si="0"/>
        <v>0</v>
      </c>
      <c r="F34" s="54">
        <f>IF(AND('(2) Family Pension'!$J$5="Yes",G$8&gt;0),ROUND(G$8*E34*0.0067,0),IF(E$6&gt;0,ROUND(E$6*E34*0.0067,0),0))</f>
        <v>0</v>
      </c>
      <c r="G34" s="62">
        <f>IF(AND('(2) Family Pension'!$J$5="Yes",$D34&gt;0),G$8+F34,IF($D34&gt;0,E$7+F34,0))</f>
        <v>0</v>
      </c>
      <c r="H34" s="58">
        <f t="shared" si="1"/>
        <v>0</v>
      </c>
      <c r="I34" s="54">
        <f>IF(AND('(2) Family Pension'!$J$5="Yes",J$8&gt;0),ROUND(J$8*H34*0.0035,0),IF(H$6&gt;0,ROUND(H$6*H34*0.0035,0),0))</f>
        <v>0</v>
      </c>
      <c r="J34" s="62">
        <f>IF(AND('(2) Family Pension'!$J$5="Yes",$D34&gt;0),J$8+I34,IF($D34&gt;0,H$7+I34,0))</f>
        <v>0</v>
      </c>
      <c r="K34" s="58">
        <f t="shared" si="2"/>
        <v>0</v>
      </c>
      <c r="L34" s="54">
        <f>IF(AND('(2) Family Pension'!$J$5="Yes",M$8&gt;0),ROUND(M$8*K34*0.0023,0),IF(K$6&gt;0,ROUND(K$6*K34*0.0023,0),0))</f>
        <v>0</v>
      </c>
      <c r="M34" s="62">
        <f>IF(AND('(2) Family Pension'!$J$5="Yes",$D34&gt;0),M$8+L34,IF($D34&gt;0,K$7+L34,0))</f>
        <v>0</v>
      </c>
      <c r="N34" s="58">
        <f t="shared" si="3"/>
        <v>0</v>
      </c>
      <c r="O34" s="54">
        <f>IF(AND('(2) Family Pension'!$J$5="Yes",P$8&gt;0),ROUND(P$8*N34*0.0018,0),IF(N$6&gt;0,ROUND(N$6*N34*0.0018,0),0))</f>
        <v>0</v>
      </c>
      <c r="P34" s="62">
        <f>IF(AND('(2) Family Pension'!$J$5="Yes",$D34&gt;0),P$8+O34,IF($D34&gt;0,N$7+O34,0))</f>
        <v>0</v>
      </c>
      <c r="Q34" s="60"/>
      <c r="R34" s="61"/>
      <c r="S34" s="62"/>
      <c r="T34" s="60"/>
      <c r="U34" s="61"/>
      <c r="V34" s="6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.75" x14ac:dyDescent="0.25">
      <c r="A35" s="42">
        <v>25</v>
      </c>
      <c r="B35" s="43">
        <v>2005</v>
      </c>
      <c r="C35" s="44" t="s">
        <v>41</v>
      </c>
      <c r="D35" s="45">
        <v>2604</v>
      </c>
      <c r="E35" s="53">
        <f t="shared" si="0"/>
        <v>0</v>
      </c>
      <c r="F35" s="54">
        <f>IF(AND('(2) Family Pension'!$J$5="Yes",G$8&gt;0),ROUND(G$8*E35*0.0067,0),IF(E$6&gt;0,ROUND(E$6*E35*0.0067,0),0))</f>
        <v>0</v>
      </c>
      <c r="G35" s="62">
        <f>IF(AND('(2) Family Pension'!$J$5="Yes",$D35&gt;0),G$8+F35,IF($D35&gt;0,E$7+F35,0))</f>
        <v>0</v>
      </c>
      <c r="H35" s="58">
        <f t="shared" si="1"/>
        <v>0</v>
      </c>
      <c r="I35" s="54">
        <f>IF(AND('(2) Family Pension'!$J$5="Yes",J$8&gt;0),ROUND(J$8*H35*0.0035,0),IF(H$6&gt;0,ROUND(H$6*H35*0.0035,0),0))</f>
        <v>0</v>
      </c>
      <c r="J35" s="62">
        <f>IF(AND('(2) Family Pension'!$J$5="Yes",$D35&gt;0),J$8+I35,IF($D35&gt;0,H$7+I35,0))</f>
        <v>0</v>
      </c>
      <c r="K35" s="58">
        <f t="shared" si="2"/>
        <v>0</v>
      </c>
      <c r="L35" s="54">
        <f>IF(AND('(2) Family Pension'!$J$5="Yes",M$8&gt;0),ROUND(M$8*K35*0.0023,0),IF(K$6&gt;0,ROUND(K$6*K35*0.0023,0),0))</f>
        <v>0</v>
      </c>
      <c r="M35" s="62">
        <f>IF(AND('(2) Family Pension'!$J$5="Yes",$D35&gt;0),M$8+L35,IF($D35&gt;0,K$7+L35,0))</f>
        <v>0</v>
      </c>
      <c r="N35" s="58">
        <f t="shared" si="3"/>
        <v>0</v>
      </c>
      <c r="O35" s="54">
        <f>IF(AND('(2) Family Pension'!$J$5="Yes",P$8&gt;0),ROUND(P$8*N35*0.0018,0),IF(N$6&gt;0,ROUND(N$6*N35*0.0018,0),0))</f>
        <v>0</v>
      </c>
      <c r="P35" s="62">
        <f>IF(AND('(2) Family Pension'!$J$5="Yes",$D35&gt;0),P$8+O35,IF($D35&gt;0,N$7+O35,0))</f>
        <v>0</v>
      </c>
      <c r="Q35" s="60"/>
      <c r="R35" s="61"/>
      <c r="S35" s="62"/>
      <c r="T35" s="60"/>
      <c r="U35" s="61"/>
      <c r="V35" s="6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.75" x14ac:dyDescent="0.25">
      <c r="A36" s="42">
        <v>26</v>
      </c>
      <c r="B36" s="43">
        <v>2006</v>
      </c>
      <c r="C36" s="44" t="s">
        <v>40</v>
      </c>
      <c r="D36" s="45">
        <v>2712</v>
      </c>
      <c r="E36" s="53">
        <f t="shared" si="0"/>
        <v>0</v>
      </c>
      <c r="F36" s="54">
        <f>IF(AND('(2) Family Pension'!$J$5="Yes",G$8&gt;0),ROUND(G$8*E36*0.0067,0),IF(E$6&gt;0,ROUND(E$6*E36*0.0067,0),0))</f>
        <v>0</v>
      </c>
      <c r="G36" s="62">
        <f>IF(AND('(2) Family Pension'!$J$5="Yes",$D36&gt;0),G$8+F36,IF($D36&gt;0,E$7+F36,0))</f>
        <v>0</v>
      </c>
      <c r="H36" s="58">
        <f t="shared" si="1"/>
        <v>0</v>
      </c>
      <c r="I36" s="54">
        <f>IF(AND('(2) Family Pension'!$J$5="Yes",J$8&gt;0),ROUND(J$8*H36*0.0035,0),IF(H$6&gt;0,ROUND(H$6*H36*0.0035,0),0))</f>
        <v>0</v>
      </c>
      <c r="J36" s="62">
        <f>IF(AND('(2) Family Pension'!$J$5="Yes",$D36&gt;0),J$8+I36,IF($D36&gt;0,H$7+I36,0))</f>
        <v>0</v>
      </c>
      <c r="K36" s="58">
        <f t="shared" si="2"/>
        <v>0</v>
      </c>
      <c r="L36" s="54">
        <f>IF(AND('(2) Family Pension'!$J$5="Yes",M$8&gt;0),ROUND(M$8*K36*0.0023,0),IF(K$6&gt;0,ROUND(K$6*K36*0.0023,0),0))</f>
        <v>0</v>
      </c>
      <c r="M36" s="62">
        <f>IF(AND('(2) Family Pension'!$J$5="Yes",$D36&gt;0),M$8+L36,IF($D36&gt;0,K$7+L36,0))</f>
        <v>0</v>
      </c>
      <c r="N36" s="58">
        <f t="shared" si="3"/>
        <v>0</v>
      </c>
      <c r="O36" s="54">
        <f>IF(AND('(2) Family Pension'!$J$5="Yes",P$8&gt;0),ROUND(P$8*N36*0.0018,0),IF(N$6&gt;0,ROUND(N$6*N36*0.0018,0),0))</f>
        <v>0</v>
      </c>
      <c r="P36" s="62">
        <f>IF(AND('(2) Family Pension'!$J$5="Yes",$D36&gt;0),P$8+O36,IF($D36&gt;0,N$7+O36,0))</f>
        <v>0</v>
      </c>
      <c r="Q36" s="60"/>
      <c r="R36" s="61"/>
      <c r="S36" s="62"/>
      <c r="T36" s="60"/>
      <c r="U36" s="61"/>
      <c r="V36" s="6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.75" x14ac:dyDescent="0.25">
      <c r="A37" s="42">
        <v>27</v>
      </c>
      <c r="B37" s="43">
        <v>2006</v>
      </c>
      <c r="C37" s="44" t="s">
        <v>41</v>
      </c>
      <c r="D37" s="45">
        <v>2768</v>
      </c>
      <c r="E37" s="53">
        <f t="shared" si="0"/>
        <v>0</v>
      </c>
      <c r="F37" s="54">
        <f>IF(AND('(2) Family Pension'!$J$5="Yes",G$8&gt;0),ROUND(G$8*E37*0.0067,0),IF(E$6&gt;0,ROUND(E$6*E37*0.0067,0),0))</f>
        <v>0</v>
      </c>
      <c r="G37" s="62">
        <f>IF(AND('(2) Family Pension'!$J$5="Yes",$D37&gt;0),G$8+F37,IF($D37&gt;0,E$7+F37,0))</f>
        <v>0</v>
      </c>
      <c r="H37" s="58">
        <f t="shared" si="1"/>
        <v>0</v>
      </c>
      <c r="I37" s="54">
        <f>IF(AND('(2) Family Pension'!$J$5="Yes",J$8&gt;0),ROUND(J$8*H37*0.0035,0),IF(H$6&gt;0,ROUND(H$6*H37*0.0035,0),0))</f>
        <v>0</v>
      </c>
      <c r="J37" s="62">
        <f>IF(AND('(2) Family Pension'!$J$5="Yes",$D37&gt;0),J$8+I37,IF($D37&gt;0,H$7+I37,0))</f>
        <v>0</v>
      </c>
      <c r="K37" s="58">
        <f t="shared" si="2"/>
        <v>0</v>
      </c>
      <c r="L37" s="54">
        <f>IF(AND('(2) Family Pension'!$J$5="Yes",M$8&gt;0),ROUND(M$8*K37*0.0023,0),IF(K$6&gt;0,ROUND(K$6*K37*0.0023,0),0))</f>
        <v>0</v>
      </c>
      <c r="M37" s="62">
        <f>IF(AND('(2) Family Pension'!$J$5="Yes",$D37&gt;0),M$8+L37,IF($D37&gt;0,K$7+L37,0))</f>
        <v>0</v>
      </c>
      <c r="N37" s="58">
        <f t="shared" si="3"/>
        <v>0</v>
      </c>
      <c r="O37" s="54">
        <f>IF(AND('(2) Family Pension'!$J$5="Yes",P$8&gt;0),ROUND(P$8*N37*0.0018,0),IF(N$6&gt;0,ROUND(N$6*N37*0.0018,0),0))</f>
        <v>0</v>
      </c>
      <c r="P37" s="62">
        <f>IF(AND('(2) Family Pension'!$J$5="Yes",$D37&gt;0),P$8+O37,IF($D37&gt;0,N$7+O37,0))</f>
        <v>0</v>
      </c>
      <c r="Q37" s="60"/>
      <c r="R37" s="61"/>
      <c r="S37" s="62"/>
      <c r="T37" s="60"/>
      <c r="U37" s="61"/>
      <c r="V37" s="6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.75" x14ac:dyDescent="0.25">
      <c r="A38" s="42">
        <v>28</v>
      </c>
      <c r="B38" s="43">
        <v>2007</v>
      </c>
      <c r="C38" s="44" t="s">
        <v>40</v>
      </c>
      <c r="D38" s="45">
        <v>2896</v>
      </c>
      <c r="E38" s="53">
        <f t="shared" si="0"/>
        <v>0</v>
      </c>
      <c r="F38" s="54">
        <f>IF(AND('(2) Family Pension'!$J$5="Yes",G$8&gt;0),ROUND(G$8*E38*0.0067,0),IF(E$6&gt;0,ROUND(E$6*E38*0.0067,0),0))</f>
        <v>0</v>
      </c>
      <c r="G38" s="62">
        <f>IF(AND('(2) Family Pension'!$J$5="Yes",$D38&gt;0),G$8+F38,IF($D38&gt;0,E$7+F38,0))</f>
        <v>0</v>
      </c>
      <c r="H38" s="58">
        <f t="shared" si="1"/>
        <v>0</v>
      </c>
      <c r="I38" s="54">
        <f>IF(AND('(2) Family Pension'!$J$5="Yes",J$8&gt;0),ROUND(J$8*H38*0.0035,0),IF(H$6&gt;0,ROUND(H$6*H38*0.0035,0),0))</f>
        <v>0</v>
      </c>
      <c r="J38" s="62">
        <f>IF(AND('(2) Family Pension'!$J$5="Yes",$D38&gt;0),J$8+I38,IF($D38&gt;0,H$7+I38,0))</f>
        <v>0</v>
      </c>
      <c r="K38" s="58">
        <f t="shared" si="2"/>
        <v>0</v>
      </c>
      <c r="L38" s="54">
        <f>IF(AND('(2) Family Pension'!$J$5="Yes",M$8&gt;0),ROUND(M$8*K38*0.0023,0),IF(K$6&gt;0,ROUND(K$6*K38*0.0023,0),0))</f>
        <v>0</v>
      </c>
      <c r="M38" s="62">
        <f>IF(AND('(2) Family Pension'!$J$5="Yes",$D38&gt;0),M$8+L38,IF($D38&gt;0,K$7+L38,0))</f>
        <v>0</v>
      </c>
      <c r="N38" s="58">
        <f t="shared" si="3"/>
        <v>0</v>
      </c>
      <c r="O38" s="54">
        <f>IF(AND('(2) Family Pension'!$J$5="Yes",P$8&gt;0),ROUND(P$8*N38*0.0018,0),IF(N$6&gt;0,ROUND(N$6*N38*0.0018,0),0))</f>
        <v>0</v>
      </c>
      <c r="P38" s="62">
        <f>IF(AND('(2) Family Pension'!$J$5="Yes",$D38&gt;0),P$8+O38,IF($D38&gt;0,N$7+O38,0))</f>
        <v>0</v>
      </c>
      <c r="Q38" s="58"/>
      <c r="R38" s="54"/>
      <c r="S38" s="62"/>
      <c r="T38" s="58"/>
      <c r="U38" s="54"/>
      <c r="V38" s="6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.75" x14ac:dyDescent="0.25">
      <c r="A39" s="42">
        <v>29</v>
      </c>
      <c r="B39" s="43">
        <v>2007</v>
      </c>
      <c r="C39" s="44" t="s">
        <v>41</v>
      </c>
      <c r="D39" s="45">
        <v>2944</v>
      </c>
      <c r="E39" s="53">
        <f t="shared" si="0"/>
        <v>0</v>
      </c>
      <c r="F39" s="54">
        <f>IF(AND('(2) Family Pension'!$J$5="Yes",G$8&gt;0),ROUND(G$8*E39*0.0067,0),IF(E$6&gt;0,ROUND(E$6*E39*0.0067,0),0))</f>
        <v>0</v>
      </c>
      <c r="G39" s="62">
        <f>IF(AND('(2) Family Pension'!$J$5="Yes",$D39&gt;0),G$8+F39,IF($D39&gt;0,E$7+F39,0))</f>
        <v>0</v>
      </c>
      <c r="H39" s="58">
        <f t="shared" si="1"/>
        <v>0</v>
      </c>
      <c r="I39" s="54">
        <f>IF(AND('(2) Family Pension'!$J$5="Yes",J$8&gt;0),ROUND(J$8*H39*0.0035,0),IF(H$6&gt;0,ROUND(H$6*H39*0.0035,0),0))</f>
        <v>0</v>
      </c>
      <c r="J39" s="62">
        <f>IF(AND('(2) Family Pension'!$J$5="Yes",$D39&gt;0),J$8+I39,IF($D39&gt;0,H$7+I39,0))</f>
        <v>0</v>
      </c>
      <c r="K39" s="58">
        <f t="shared" si="2"/>
        <v>0</v>
      </c>
      <c r="L39" s="54">
        <f>IF(AND('(2) Family Pension'!$J$5="Yes",M$8&gt;0),ROUND(M$8*K39*0.0023,0),IF(K$6&gt;0,ROUND(K$6*K39*0.0023,0),0))</f>
        <v>0</v>
      </c>
      <c r="M39" s="62">
        <f>IF(AND('(2) Family Pension'!$J$5="Yes",$D39&gt;0),M$8+L39,IF($D39&gt;0,K$7+L39,0))</f>
        <v>0</v>
      </c>
      <c r="N39" s="58">
        <f t="shared" si="3"/>
        <v>0</v>
      </c>
      <c r="O39" s="54">
        <f>IF(AND('(2) Family Pension'!$J$5="Yes",P$8&gt;0),ROUND(P$8*N39*0.0018,0),IF(N$6&gt;0,ROUND(N$6*N39*0.0018,0),0))</f>
        <v>0</v>
      </c>
      <c r="P39" s="62">
        <f>IF(AND('(2) Family Pension'!$J$5="Yes",$D39&gt;0),P$8+O39,IF($D39&gt;0,N$7+O39,0))</f>
        <v>0</v>
      </c>
      <c r="Q39" s="58">
        <f>IF(AND($A$4="E",$D39&gt;0),ROUND(($D39-2944)/4,0),0)</f>
        <v>0</v>
      </c>
      <c r="R39" s="54">
        <f>IF(AND('(2) Family Pension'!$J$5="Yes",S$8&gt;0),ROUND(S$8*Q39*0.0015,0),IF(Q$6&gt;0,ROUND(Q$6*Q39*0.0015,0),0))</f>
        <v>0</v>
      </c>
      <c r="S39" s="62">
        <f>IF(AND('(2) Family Pension'!$J$5="Yes",$D39&gt;0),S$8+R39,IF($D39&gt;0,Q$7+R39,0))</f>
        <v>0</v>
      </c>
      <c r="T39" s="58"/>
      <c r="U39" s="54"/>
      <c r="V39" s="6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5.75" x14ac:dyDescent="0.25">
      <c r="A40" s="42">
        <v>30</v>
      </c>
      <c r="B40" s="43">
        <v>2008</v>
      </c>
      <c r="C40" s="44" t="s">
        <v>40</v>
      </c>
      <c r="D40" s="45">
        <v>3056</v>
      </c>
      <c r="E40" s="53">
        <f t="shared" si="0"/>
        <v>0</v>
      </c>
      <c r="F40" s="54">
        <f>IF(AND('(2) Family Pension'!$J$5="Yes",G$8&gt;0),ROUND(G$8*E40*0.0067,0),IF(E$6&gt;0,ROUND(E$6*E40*0.0067,0),0))</f>
        <v>0</v>
      </c>
      <c r="G40" s="62">
        <f>IF(AND('(2) Family Pension'!$J$5="Yes",$D40&gt;0),G$8+F40,IF($D40&gt;0,E$7+F40,0))</f>
        <v>0</v>
      </c>
      <c r="H40" s="58">
        <f t="shared" si="1"/>
        <v>0</v>
      </c>
      <c r="I40" s="54">
        <f>IF(AND('(2) Family Pension'!$J$5="Yes",J$8&gt;0),ROUND(J$8*H40*0.0035,0),IF(H$6&gt;0,ROUND(H$6*H40*0.0035,0),0))</f>
        <v>0</v>
      </c>
      <c r="J40" s="62">
        <f>IF(AND('(2) Family Pension'!$J$5="Yes",$D40&gt;0),J$8+I40,IF($D40&gt;0,H$7+I40,0))</f>
        <v>0</v>
      </c>
      <c r="K40" s="58">
        <f t="shared" si="2"/>
        <v>0</v>
      </c>
      <c r="L40" s="54">
        <f>IF(AND('(2) Family Pension'!$J$5="Yes",M$8&gt;0),ROUND(M$8*K40*0.0023,0),IF(K$6&gt;0,ROUND(K$6*K40*0.0023,0),0))</f>
        <v>0</v>
      </c>
      <c r="M40" s="62">
        <f>IF(AND('(2) Family Pension'!$J$5="Yes",$D40&gt;0),M$8+L40,IF($D40&gt;0,K$7+L40,0))</f>
        <v>0</v>
      </c>
      <c r="N40" s="58">
        <f t="shared" si="3"/>
        <v>0</v>
      </c>
      <c r="O40" s="54">
        <f>IF(AND('(2) Family Pension'!$J$5="Yes",P$8&gt;0),ROUND(P$8*N40*0.0018,0),IF(N$6&gt;0,ROUND(N$6*N40*0.0018,0),0))</f>
        <v>0</v>
      </c>
      <c r="P40" s="62">
        <f>IF(AND('(2) Family Pension'!$J$5="Yes",$D40&gt;0),P$8+O40,IF($D40&gt;0,N$7+O40,0))</f>
        <v>0</v>
      </c>
      <c r="Q40" s="58">
        <f t="shared" ref="Q40:Q75" si="4">IF(AND($A$4="E",$D40&gt;0),ROUND(($D40-2944)/4,0),0)</f>
        <v>0</v>
      </c>
      <c r="R40" s="54">
        <f>IF(AND('(2) Family Pension'!$J$5="Yes",S$8&gt;0),ROUND(S$8*Q40*0.0015,0),IF(Q$6&gt;0,ROUND(Q$6*Q40*0.0015,0),0))</f>
        <v>0</v>
      </c>
      <c r="S40" s="62">
        <f>IF(AND('(2) Family Pension'!$J$5="Yes",$D40&gt;0),S$8+R40,IF($D40&gt;0,Q$7+R40,0))</f>
        <v>0</v>
      </c>
      <c r="T40" s="58"/>
      <c r="U40" s="54"/>
      <c r="V40" s="6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.75" x14ac:dyDescent="0.25">
      <c r="A41" s="42">
        <v>31</v>
      </c>
      <c r="B41" s="43">
        <v>2008</v>
      </c>
      <c r="C41" s="44" t="s">
        <v>41</v>
      </c>
      <c r="D41" s="45">
        <v>3172</v>
      </c>
      <c r="E41" s="53">
        <f t="shared" si="0"/>
        <v>0</v>
      </c>
      <c r="F41" s="54">
        <f>IF(AND('(2) Family Pension'!$J$5="Yes",G$8&gt;0),ROUND(G$8*E41*0.0067,0),IF(E$6&gt;0,ROUND(E$6*E41*0.0067,0),0))</f>
        <v>0</v>
      </c>
      <c r="G41" s="62">
        <f>IF(AND('(2) Family Pension'!$J$5="Yes",$D41&gt;0),G$8+F41,IF($D41&gt;0,E$7+F41,0))</f>
        <v>0</v>
      </c>
      <c r="H41" s="58">
        <f t="shared" si="1"/>
        <v>0</v>
      </c>
      <c r="I41" s="54">
        <f>IF(AND('(2) Family Pension'!$J$5="Yes",J$8&gt;0),ROUND(J$8*H41*0.0035,0),IF(H$6&gt;0,ROUND(H$6*H41*0.0035,0),0))</f>
        <v>0</v>
      </c>
      <c r="J41" s="62">
        <f>IF(AND('(2) Family Pension'!$J$5="Yes",$D41&gt;0),J$8+I41,IF($D41&gt;0,H$7+I41,0))</f>
        <v>0</v>
      </c>
      <c r="K41" s="58">
        <f t="shared" si="2"/>
        <v>0</v>
      </c>
      <c r="L41" s="54">
        <f>IF(AND('(2) Family Pension'!$J$5="Yes",M$8&gt;0),ROUND(M$8*K41*0.0023,0),IF(K$6&gt;0,ROUND(K$6*K41*0.0023,0),0))</f>
        <v>0</v>
      </c>
      <c r="M41" s="62">
        <f>IF(AND('(2) Family Pension'!$J$5="Yes",$D41&gt;0),M$8+L41,IF($D41&gt;0,K$7+L41,0))</f>
        <v>0</v>
      </c>
      <c r="N41" s="58">
        <f t="shared" si="3"/>
        <v>0</v>
      </c>
      <c r="O41" s="54">
        <f>IF(AND('(2) Family Pension'!$J$5="Yes",P$8&gt;0),ROUND(P$8*N41*0.0018,0),IF(N$6&gt;0,ROUND(N$6*N41*0.0018,0),0))</f>
        <v>0</v>
      </c>
      <c r="P41" s="62">
        <f>IF(AND('(2) Family Pension'!$J$5="Yes",$D41&gt;0),P$8+O41,IF($D41&gt;0,N$7+O41,0))</f>
        <v>0</v>
      </c>
      <c r="Q41" s="58">
        <f t="shared" si="4"/>
        <v>0</v>
      </c>
      <c r="R41" s="54">
        <f>IF(AND('(2) Family Pension'!$J$5="Yes",S$8&gt;0),ROUND(S$8*Q41*0.0015,0),IF(Q$6&gt;0,ROUND(Q$6*Q41*0.0015,0),0))</f>
        <v>0</v>
      </c>
      <c r="S41" s="62">
        <f>IF(AND('(2) Family Pension'!$J$5="Yes",$D41&gt;0),S$8+R41,IF($D41&gt;0,Q$7+R41,0))</f>
        <v>0</v>
      </c>
      <c r="T41" s="58"/>
      <c r="U41" s="54"/>
      <c r="V41" s="6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.75" x14ac:dyDescent="0.25">
      <c r="A42" s="42">
        <v>32</v>
      </c>
      <c r="B42" s="43">
        <v>2009</v>
      </c>
      <c r="C42" s="44" t="s">
        <v>40</v>
      </c>
      <c r="D42" s="45">
        <v>3368</v>
      </c>
      <c r="E42" s="53">
        <f t="shared" si="0"/>
        <v>0</v>
      </c>
      <c r="F42" s="54">
        <f>IF(AND('(2) Family Pension'!$J$5="Yes",G$8&gt;0),ROUND(G$8*E42*0.0067,0),IF(E$6&gt;0,ROUND(E$6*E42*0.0067,0),0))</f>
        <v>0</v>
      </c>
      <c r="G42" s="62">
        <f>IF(AND('(2) Family Pension'!$J$5="Yes",$D42&gt;0),G$8+F42,IF($D42&gt;0,E$7+F42,0))</f>
        <v>0</v>
      </c>
      <c r="H42" s="58">
        <f t="shared" si="1"/>
        <v>0</v>
      </c>
      <c r="I42" s="54">
        <f>IF(AND('(2) Family Pension'!$J$5="Yes",J$8&gt;0),ROUND(J$8*H42*0.0035,0),IF(H$6&gt;0,ROUND(H$6*H42*0.0035,0),0))</f>
        <v>0</v>
      </c>
      <c r="J42" s="62">
        <f>IF(AND('(2) Family Pension'!$J$5="Yes",$D42&gt;0),J$8+I42,IF($D42&gt;0,H$7+I42,0))</f>
        <v>0</v>
      </c>
      <c r="K42" s="58">
        <f t="shared" si="2"/>
        <v>0</v>
      </c>
      <c r="L42" s="54">
        <f>IF(AND('(2) Family Pension'!$J$5="Yes",M$8&gt;0),ROUND(M$8*K42*0.0023,0),IF(K$6&gt;0,ROUND(K$6*K42*0.0023,0),0))</f>
        <v>0</v>
      </c>
      <c r="M42" s="62">
        <f>IF(AND('(2) Family Pension'!$J$5="Yes",$D42&gt;0),M$8+L42,IF($D42&gt;0,K$7+L42,0))</f>
        <v>0</v>
      </c>
      <c r="N42" s="58">
        <f t="shared" si="3"/>
        <v>0</v>
      </c>
      <c r="O42" s="54">
        <f>IF(AND('(2) Family Pension'!$J$5="Yes",P$8&gt;0),ROUND(P$8*N42*0.0018,0),IF(N$6&gt;0,ROUND(N$6*N42*0.0018,0),0))</f>
        <v>0</v>
      </c>
      <c r="P42" s="62">
        <f>IF(AND('(2) Family Pension'!$J$5="Yes",$D42&gt;0),P$8+O42,IF($D42&gt;0,N$7+O42,0))</f>
        <v>0</v>
      </c>
      <c r="Q42" s="58">
        <f t="shared" si="4"/>
        <v>0</v>
      </c>
      <c r="R42" s="54">
        <f>IF(AND('(2) Family Pension'!$J$5="Yes",S$8&gt;0),ROUND(S$8*Q42*0.0015,0),IF(Q$6&gt;0,ROUND(Q$6*Q42*0.0015,0),0))</f>
        <v>0</v>
      </c>
      <c r="S42" s="62">
        <f>IF(AND('(2) Family Pension'!$J$5="Yes",$D42&gt;0),S$8+R42,IF($D42&gt;0,Q$7+R42,0))</f>
        <v>0</v>
      </c>
      <c r="T42" s="58"/>
      <c r="U42" s="54"/>
      <c r="V42" s="6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x14ac:dyDescent="0.25">
      <c r="A43" s="42">
        <v>33</v>
      </c>
      <c r="B43" s="43">
        <v>2009</v>
      </c>
      <c r="C43" s="44" t="s">
        <v>41</v>
      </c>
      <c r="D43" s="45">
        <v>3452</v>
      </c>
      <c r="E43" s="53">
        <f t="shared" si="0"/>
        <v>0</v>
      </c>
      <c r="F43" s="54">
        <f>IF(AND('(2) Family Pension'!$J$5="Yes",G$8&gt;0),ROUND(G$8*E43*0.0067,0),IF(E$6&gt;0,ROUND(E$6*E43*0.0067,0),0))</f>
        <v>0</v>
      </c>
      <c r="G43" s="62">
        <f>IF(AND('(2) Family Pension'!$J$5="Yes",$D43&gt;0),G$8+F43,IF($D43&gt;0,E$7+F43,0))</f>
        <v>0</v>
      </c>
      <c r="H43" s="58">
        <f t="shared" si="1"/>
        <v>0</v>
      </c>
      <c r="I43" s="54">
        <f>IF(AND('(2) Family Pension'!$J$5="Yes",J$8&gt;0),ROUND(J$8*H43*0.0035,0),IF(H$6&gt;0,ROUND(H$6*H43*0.0035,0),0))</f>
        <v>0</v>
      </c>
      <c r="J43" s="62">
        <f>IF(AND('(2) Family Pension'!$J$5="Yes",$D43&gt;0),J$8+I43,IF($D43&gt;0,H$7+I43,0))</f>
        <v>0</v>
      </c>
      <c r="K43" s="58">
        <f t="shared" si="2"/>
        <v>0</v>
      </c>
      <c r="L43" s="54">
        <f>IF(AND('(2) Family Pension'!$J$5="Yes",M$8&gt;0),ROUND(M$8*K43*0.0023,0),IF(K$6&gt;0,ROUND(K$6*K43*0.0023,0),0))</f>
        <v>0</v>
      </c>
      <c r="M43" s="62">
        <f>IF(AND('(2) Family Pension'!$J$5="Yes",$D43&gt;0),M$8+L43,IF($D43&gt;0,K$7+L43,0))</f>
        <v>0</v>
      </c>
      <c r="N43" s="58">
        <f t="shared" si="3"/>
        <v>0</v>
      </c>
      <c r="O43" s="54">
        <f>IF(AND('(2) Family Pension'!$J$5="Yes",P$8&gt;0),ROUND(P$8*N43*0.0018,0),IF(N$6&gt;0,ROUND(N$6*N43*0.0018,0),0))</f>
        <v>0</v>
      </c>
      <c r="P43" s="62">
        <f>IF(AND('(2) Family Pension'!$J$5="Yes",$D43&gt;0),P$8+O43,IF($D43&gt;0,N$7+O43,0))</f>
        <v>0</v>
      </c>
      <c r="Q43" s="58">
        <f t="shared" si="4"/>
        <v>0</v>
      </c>
      <c r="R43" s="54">
        <f>IF(AND('(2) Family Pension'!$J$5="Yes",S$8&gt;0),ROUND(S$8*Q43*0.0015,0),IF(Q$6&gt;0,ROUND(Q$6*Q43*0.0015,0),0))</f>
        <v>0</v>
      </c>
      <c r="S43" s="62">
        <f>IF(AND('(2) Family Pension'!$J$5="Yes",$D43&gt;0),S$8+R43,IF($D43&gt;0,Q$7+R43,0))</f>
        <v>0</v>
      </c>
      <c r="T43" s="58"/>
      <c r="U43" s="54"/>
      <c r="V43" s="6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.75" x14ac:dyDescent="0.25">
      <c r="A44" s="42">
        <v>34</v>
      </c>
      <c r="B44" s="43">
        <v>2010</v>
      </c>
      <c r="C44" s="44" t="s">
        <v>40</v>
      </c>
      <c r="D44" s="45">
        <v>3816</v>
      </c>
      <c r="E44" s="53">
        <f t="shared" si="0"/>
        <v>0</v>
      </c>
      <c r="F44" s="54">
        <f>IF(AND('(2) Family Pension'!$J$5="Yes",G$8&gt;0),ROUND(G$8*E44*0.0067,0),IF(E$6&gt;0,ROUND(E$6*E44*0.0067,0),0))</f>
        <v>0</v>
      </c>
      <c r="G44" s="62">
        <f>IF(AND('(2) Family Pension'!$J$5="Yes",$D44&gt;0),G$8+F44,IF($D44&gt;0,E$7+F44,0))</f>
        <v>0</v>
      </c>
      <c r="H44" s="58">
        <f t="shared" si="1"/>
        <v>0</v>
      </c>
      <c r="I44" s="54">
        <f>IF(AND('(2) Family Pension'!$J$5="Yes",J$8&gt;0),ROUND(J$8*H44*0.0035,0),IF(H$6&gt;0,ROUND(H$6*H44*0.0035,0),0))</f>
        <v>0</v>
      </c>
      <c r="J44" s="62">
        <f>IF(AND('(2) Family Pension'!$J$5="Yes",$D44&gt;0),J$8+I44,IF($D44&gt;0,H$7+I44,0))</f>
        <v>0</v>
      </c>
      <c r="K44" s="58">
        <f t="shared" si="2"/>
        <v>0</v>
      </c>
      <c r="L44" s="54">
        <f>IF(AND('(2) Family Pension'!$J$5="Yes",M$8&gt;0),ROUND(M$8*K44*0.0023,0),IF(K$6&gt;0,ROUND(K$6*K44*0.0023,0),0))</f>
        <v>0</v>
      </c>
      <c r="M44" s="62">
        <f>IF(AND('(2) Family Pension'!$J$5="Yes",$D44&gt;0),M$8+L44,IF($D44&gt;0,K$7+L44,0))</f>
        <v>0</v>
      </c>
      <c r="N44" s="58">
        <f t="shared" si="3"/>
        <v>0</v>
      </c>
      <c r="O44" s="54">
        <f>IF(AND('(2) Family Pension'!$J$5="Yes",P$8&gt;0),ROUND(P$8*N44*0.0018,0),IF(N$6&gt;0,ROUND(N$6*N44*0.0018,0),0))</f>
        <v>0</v>
      </c>
      <c r="P44" s="62">
        <f>IF(AND('(2) Family Pension'!$J$5="Yes",$D44&gt;0),P$8+O44,IF($D44&gt;0,N$7+O44,0))</f>
        <v>0</v>
      </c>
      <c r="Q44" s="58">
        <f t="shared" si="4"/>
        <v>0</v>
      </c>
      <c r="R44" s="54">
        <f>IF(AND('(2) Family Pension'!$J$5="Yes",S$8&gt;0),ROUND(S$8*Q44*0.0015,0),IF(Q$6&gt;0,ROUND(Q$6*Q44*0.0015,0),0))</f>
        <v>0</v>
      </c>
      <c r="S44" s="62">
        <f>IF(AND('(2) Family Pension'!$J$5="Yes",$D44&gt;0),S$8+R44,IF($D44&gt;0,Q$7+R44,0))</f>
        <v>0</v>
      </c>
      <c r="T44" s="58"/>
      <c r="U44" s="54"/>
      <c r="V44" s="6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5.75" x14ac:dyDescent="0.25">
      <c r="A45" s="42">
        <v>35</v>
      </c>
      <c r="B45" s="43">
        <v>2010</v>
      </c>
      <c r="C45" s="44" t="s">
        <v>41</v>
      </c>
      <c r="D45" s="45">
        <v>3924</v>
      </c>
      <c r="E45" s="53">
        <f t="shared" si="0"/>
        <v>0</v>
      </c>
      <c r="F45" s="54">
        <f>IF(AND('(2) Family Pension'!$J$5="Yes",G$8&gt;0),ROUND(G$8*E45*0.0067,0),IF(E$6&gt;0,ROUND(E$6*E45*0.0067,0),0))</f>
        <v>0</v>
      </c>
      <c r="G45" s="62">
        <f>IF(AND('(2) Family Pension'!$J$5="Yes",$D45&gt;0),G$8+F45,IF($D45&gt;0,E$7+F45,0))</f>
        <v>0</v>
      </c>
      <c r="H45" s="58">
        <f t="shared" si="1"/>
        <v>0</v>
      </c>
      <c r="I45" s="54">
        <f>IF(AND('(2) Family Pension'!$J$5="Yes",J$8&gt;0),ROUND(J$8*H45*0.0035,0),IF(H$6&gt;0,ROUND(H$6*H45*0.0035,0),0))</f>
        <v>0</v>
      </c>
      <c r="J45" s="62">
        <f>IF(AND('(2) Family Pension'!$J$5="Yes",$D45&gt;0),J$8+I45,IF($D45&gt;0,H$7+I45,0))</f>
        <v>0</v>
      </c>
      <c r="K45" s="58">
        <f t="shared" si="2"/>
        <v>0</v>
      </c>
      <c r="L45" s="54">
        <f>IF(AND('(2) Family Pension'!$J$5="Yes",M$8&gt;0),ROUND(M$8*K45*0.0023,0),IF(K$6&gt;0,ROUND(K$6*K45*0.0023,0),0))</f>
        <v>0</v>
      </c>
      <c r="M45" s="62">
        <f>IF(AND('(2) Family Pension'!$J$5="Yes",$D45&gt;0),M$8+L45,IF($D45&gt;0,K$7+L45,0))</f>
        <v>0</v>
      </c>
      <c r="N45" s="58">
        <f t="shared" si="3"/>
        <v>0</v>
      </c>
      <c r="O45" s="54">
        <f>IF(AND('(2) Family Pension'!$J$5="Yes",P$8&gt;0),ROUND(P$8*N45*0.0018,0),IF(N$6&gt;0,ROUND(N$6*N45*0.0018,0),0))</f>
        <v>0</v>
      </c>
      <c r="P45" s="62">
        <f>IF(AND('(2) Family Pension'!$J$5="Yes",$D45&gt;0),P$8+O45,IF($D45&gt;0,N$7+O45,0))</f>
        <v>0</v>
      </c>
      <c r="Q45" s="58">
        <f t="shared" si="4"/>
        <v>0</v>
      </c>
      <c r="R45" s="54">
        <f>IF(AND('(2) Family Pension'!$J$5="Yes",S$8&gt;0),ROUND(S$8*Q45*0.0015,0),IF(Q$6&gt;0,ROUND(Q$6*Q45*0.0015,0),0))</f>
        <v>0</v>
      </c>
      <c r="S45" s="62">
        <f>IF(AND('(2) Family Pension'!$J$5="Yes",$D45&gt;0),S$8+R45,IF($D45&gt;0,Q$7+R45,0))</f>
        <v>0</v>
      </c>
      <c r="T45" s="58"/>
      <c r="U45" s="54"/>
      <c r="V45" s="6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5.75" x14ac:dyDescent="0.25">
      <c r="A46" s="42">
        <v>36</v>
      </c>
      <c r="B46" s="43">
        <v>2011</v>
      </c>
      <c r="C46" s="44" t="s">
        <v>40</v>
      </c>
      <c r="D46" s="45">
        <v>4168</v>
      </c>
      <c r="E46" s="53">
        <f t="shared" si="0"/>
        <v>0</v>
      </c>
      <c r="F46" s="54">
        <f>IF(AND('(2) Family Pension'!$J$5="Yes",G$8&gt;0),ROUND(G$8*E46*0.0067,0),IF(E$6&gt;0,ROUND(E$6*E46*0.0067,0),0))</f>
        <v>0</v>
      </c>
      <c r="G46" s="62">
        <f>IF(AND('(2) Family Pension'!$J$5="Yes",$D46&gt;0),G$8+F46,IF($D46&gt;0,E$7+F46,0))</f>
        <v>0</v>
      </c>
      <c r="H46" s="58">
        <f t="shared" si="1"/>
        <v>0</v>
      </c>
      <c r="I46" s="54">
        <f>IF(AND('(2) Family Pension'!$J$5="Yes",J$8&gt;0),ROUND(J$8*H46*0.0035,0),IF(H$6&gt;0,ROUND(H$6*H46*0.0035,0),0))</f>
        <v>0</v>
      </c>
      <c r="J46" s="62">
        <f>IF(AND('(2) Family Pension'!$J$5="Yes",$D46&gt;0),J$8+I46,IF($D46&gt;0,H$7+I46,0))</f>
        <v>0</v>
      </c>
      <c r="K46" s="58">
        <f t="shared" si="2"/>
        <v>0</v>
      </c>
      <c r="L46" s="54">
        <f>IF(AND('(2) Family Pension'!$J$5="Yes",M$8&gt;0),ROUND(M$8*K46*0.0023,0),IF(K$6&gt;0,ROUND(K$6*K46*0.0023,0),0))</f>
        <v>0</v>
      </c>
      <c r="M46" s="62">
        <f>IF(AND('(2) Family Pension'!$J$5="Yes",$D46&gt;0),M$8+L46,IF($D46&gt;0,K$7+L46,0))</f>
        <v>0</v>
      </c>
      <c r="N46" s="58">
        <f t="shared" si="3"/>
        <v>0</v>
      </c>
      <c r="O46" s="54">
        <f>IF(AND('(2) Family Pension'!$J$5="Yes",P$8&gt;0),ROUND(P$8*N46*0.0018,0),IF(N$6&gt;0,ROUND(N$6*N46*0.0018,0),0))</f>
        <v>0</v>
      </c>
      <c r="P46" s="62">
        <f>IF(AND('(2) Family Pension'!$J$5="Yes",$D46&gt;0),P$8+O46,IF($D46&gt;0,N$7+O46,0))</f>
        <v>0</v>
      </c>
      <c r="Q46" s="58">
        <f t="shared" si="4"/>
        <v>0</v>
      </c>
      <c r="R46" s="54">
        <f>IF(AND('(2) Family Pension'!$J$5="Yes",S$8&gt;0),ROUND(S$8*Q46*0.0015,0),IF(Q$6&gt;0,ROUND(Q$6*Q46*0.0015,0),0))</f>
        <v>0</v>
      </c>
      <c r="S46" s="62">
        <f>IF(AND('(2) Family Pension'!$J$5="Yes",$D46&gt;0),S$8+R46,IF($D46&gt;0,Q$7+R46,0))</f>
        <v>0</v>
      </c>
      <c r="T46" s="58"/>
      <c r="U46" s="54"/>
      <c r="V46" s="6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5.75" x14ac:dyDescent="0.25">
      <c r="A47" s="42">
        <v>37</v>
      </c>
      <c r="B47" s="43">
        <v>2011</v>
      </c>
      <c r="C47" s="44" t="s">
        <v>41</v>
      </c>
      <c r="D47" s="45">
        <v>4276</v>
      </c>
      <c r="E47" s="53">
        <f t="shared" si="0"/>
        <v>0</v>
      </c>
      <c r="F47" s="54">
        <f>IF(AND('(2) Family Pension'!$J$5="Yes",G$8&gt;0),ROUND(G$8*E47*0.0067,0),IF(E$6&gt;0,ROUND(E$6*E47*0.0067,0),0))</f>
        <v>0</v>
      </c>
      <c r="G47" s="62">
        <f>IF(AND('(2) Family Pension'!$J$5="Yes",$D47&gt;0),G$8+F47,IF($D47&gt;0,E$7+F47,0))</f>
        <v>0</v>
      </c>
      <c r="H47" s="58">
        <f t="shared" si="1"/>
        <v>0</v>
      </c>
      <c r="I47" s="54">
        <f>IF(AND('(2) Family Pension'!$J$5="Yes",J$8&gt;0),ROUND(J$8*H47*0.0035,0),IF(H$6&gt;0,ROUND(H$6*H47*0.0035,0),0))</f>
        <v>0</v>
      </c>
      <c r="J47" s="62">
        <f>IF(AND('(2) Family Pension'!$J$5="Yes",$D47&gt;0),J$8+I47,IF($D47&gt;0,H$7+I47,0))</f>
        <v>0</v>
      </c>
      <c r="K47" s="58">
        <f t="shared" si="2"/>
        <v>0</v>
      </c>
      <c r="L47" s="54">
        <f>IF(AND('(2) Family Pension'!$J$5="Yes",M$8&gt;0),ROUND(M$8*K47*0.0023,0),IF(K$6&gt;0,ROUND(K$6*K47*0.0023,0),0))</f>
        <v>0</v>
      </c>
      <c r="M47" s="62">
        <f>IF(AND('(2) Family Pension'!$J$5="Yes",$D47&gt;0),M$8+L47,IF($D47&gt;0,K$7+L47,0))</f>
        <v>0</v>
      </c>
      <c r="N47" s="58">
        <f t="shared" si="3"/>
        <v>0</v>
      </c>
      <c r="O47" s="54">
        <f>IF(AND('(2) Family Pension'!$J$5="Yes",P$8&gt;0),ROUND(P$8*N47*0.0018,0),IF(N$6&gt;0,ROUND(N$6*N47*0.0018,0),0))</f>
        <v>0</v>
      </c>
      <c r="P47" s="62">
        <f>IF(AND('(2) Family Pension'!$J$5="Yes",$D47&gt;0),P$8+O47,IF($D47&gt;0,N$7+O47,0))</f>
        <v>0</v>
      </c>
      <c r="Q47" s="58">
        <f t="shared" si="4"/>
        <v>0</v>
      </c>
      <c r="R47" s="54">
        <f>IF(AND('(2) Family Pension'!$J$5="Yes",S$8&gt;0),ROUND(S$8*Q47*0.0015,0),IF(Q$6&gt;0,ROUND(Q$6*Q47*0.0015,0),0))</f>
        <v>0</v>
      </c>
      <c r="S47" s="62">
        <f>IF(AND('(2) Family Pension'!$J$5="Yes",$D47&gt;0),S$8+R47,IF($D47&gt;0,Q$7+R47,0))</f>
        <v>0</v>
      </c>
      <c r="T47" s="58"/>
      <c r="U47" s="54"/>
      <c r="V47" s="6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5.75" x14ac:dyDescent="0.25">
      <c r="A48" s="42">
        <v>38</v>
      </c>
      <c r="B48" s="43">
        <v>2012</v>
      </c>
      <c r="C48" s="44" t="s">
        <v>40</v>
      </c>
      <c r="D48" s="45">
        <v>4516</v>
      </c>
      <c r="E48" s="53">
        <f t="shared" si="0"/>
        <v>0</v>
      </c>
      <c r="F48" s="54">
        <f>IF(AND('(2) Family Pension'!$J$5="Yes",G$8&gt;0),ROUND(G$8*E48*0.0067,0),IF(E$6&gt;0,ROUND(E$6*E48*0.0067,0),0))</f>
        <v>0</v>
      </c>
      <c r="G48" s="62">
        <f>IF(AND('(2) Family Pension'!$J$5="Yes",$D48&gt;0),G$8+F48,IF($D48&gt;0,E$7+F48,0))</f>
        <v>0</v>
      </c>
      <c r="H48" s="58">
        <f t="shared" si="1"/>
        <v>0</v>
      </c>
      <c r="I48" s="54">
        <f>IF(AND('(2) Family Pension'!$J$5="Yes",J$8&gt;0),ROUND(J$8*H48*0.0035,0),IF(H$6&gt;0,ROUND(H$6*H48*0.0035,0),0))</f>
        <v>0</v>
      </c>
      <c r="J48" s="62">
        <f>IF(AND('(2) Family Pension'!$J$5="Yes",$D48&gt;0),J$8+I48,IF($D48&gt;0,H$7+I48,0))</f>
        <v>0</v>
      </c>
      <c r="K48" s="58">
        <f t="shared" si="2"/>
        <v>0</v>
      </c>
      <c r="L48" s="54">
        <f>IF(AND('(2) Family Pension'!$J$5="Yes",M$8&gt;0),ROUND(M$8*K48*0.0023,0),IF(K$6&gt;0,ROUND(K$6*K48*0.0023,0),0))</f>
        <v>0</v>
      </c>
      <c r="M48" s="62">
        <f>IF(AND('(2) Family Pension'!$J$5="Yes",$D48&gt;0),M$8+L48,IF($D48&gt;0,K$7+L48,0))</f>
        <v>0</v>
      </c>
      <c r="N48" s="58">
        <f t="shared" si="3"/>
        <v>0</v>
      </c>
      <c r="O48" s="54">
        <f>IF(AND('(2) Family Pension'!$J$5="Yes",P$8&gt;0),ROUND(P$8*N48*0.0018,0),IF(N$6&gt;0,ROUND(N$6*N48*0.0018,0),0))</f>
        <v>0</v>
      </c>
      <c r="P48" s="62">
        <f>IF(AND('(2) Family Pension'!$J$5="Yes",$D48&gt;0),P$8+O48,IF($D48&gt;0,N$7+O48,0))</f>
        <v>0</v>
      </c>
      <c r="Q48" s="58">
        <f t="shared" si="4"/>
        <v>0</v>
      </c>
      <c r="R48" s="54">
        <f>IF(AND('(2) Family Pension'!$J$5="Yes",S$8&gt;0),ROUND(S$8*Q48*0.0015,0),IF(Q$6&gt;0,ROUND(Q$6*Q48*0.0015,0),0))</f>
        <v>0</v>
      </c>
      <c r="S48" s="62">
        <f>IF(AND('(2) Family Pension'!$J$5="Yes",$D48&gt;0),S$8+R48,IF($D48&gt;0,Q$7+R48,0))</f>
        <v>0</v>
      </c>
      <c r="T48" s="58"/>
      <c r="U48" s="54"/>
      <c r="V48" s="6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5.75" x14ac:dyDescent="0.25">
      <c r="A49" s="42">
        <v>39</v>
      </c>
      <c r="B49" s="43">
        <v>2012</v>
      </c>
      <c r="C49" s="44" t="s">
        <v>41</v>
      </c>
      <c r="D49" s="45">
        <v>4708</v>
      </c>
      <c r="E49" s="53">
        <f t="shared" si="0"/>
        <v>0</v>
      </c>
      <c r="F49" s="54">
        <f>IF(AND('(2) Family Pension'!$J$5="Yes",G$8&gt;0),ROUND(G$8*E49*0.0067,0),IF(E$6&gt;0,ROUND(E$6*E49*0.0067,0),0))</f>
        <v>0</v>
      </c>
      <c r="G49" s="62">
        <f>IF(AND('(2) Family Pension'!$J$5="Yes",$D49&gt;0),G$8+F49,IF($D49&gt;0,E$7+F49,0))</f>
        <v>0</v>
      </c>
      <c r="H49" s="58">
        <f t="shared" si="1"/>
        <v>0</v>
      </c>
      <c r="I49" s="54">
        <f>IF(AND('(2) Family Pension'!$J$5="Yes",J$8&gt;0),ROUND(J$8*H49*0.0035,0),IF(H$6&gt;0,ROUND(H$6*H49*0.0035,0),0))</f>
        <v>0</v>
      </c>
      <c r="J49" s="62">
        <f>IF(AND('(2) Family Pension'!$J$5="Yes",$D49&gt;0),J$8+I49,IF($D49&gt;0,H$7+I49,0))</f>
        <v>0</v>
      </c>
      <c r="K49" s="58">
        <f t="shared" si="2"/>
        <v>0</v>
      </c>
      <c r="L49" s="54">
        <f>IF(AND('(2) Family Pension'!$J$5="Yes",M$8&gt;0),ROUND(M$8*K49*0.0023,0),IF(K$6&gt;0,ROUND(K$6*K49*0.0023,0),0))</f>
        <v>0</v>
      </c>
      <c r="M49" s="62">
        <f>IF(AND('(2) Family Pension'!$J$5="Yes",$D49&gt;0),M$8+L49,IF($D49&gt;0,K$7+L49,0))</f>
        <v>0</v>
      </c>
      <c r="N49" s="58">
        <f t="shared" si="3"/>
        <v>0</v>
      </c>
      <c r="O49" s="54">
        <f>IF(AND('(2) Family Pension'!$J$5="Yes",P$8&gt;0),ROUND(P$8*N49*0.0018,0),IF(N$6&gt;0,ROUND(N$6*N49*0.0018,0),0))</f>
        <v>0</v>
      </c>
      <c r="P49" s="62">
        <f>IF(AND('(2) Family Pension'!$J$5="Yes",$D49&gt;0),P$8+O49,IF($D49&gt;0,N$7+O49,0))</f>
        <v>0</v>
      </c>
      <c r="Q49" s="58">
        <f t="shared" si="4"/>
        <v>0</v>
      </c>
      <c r="R49" s="54">
        <f>IF(AND('(2) Family Pension'!$J$5="Yes",S$8&gt;0),ROUND(S$8*Q49*0.0015,0),IF(Q$6&gt;0,ROUND(Q$6*Q49*0.0015,0),0))</f>
        <v>0</v>
      </c>
      <c r="S49" s="62">
        <f>IF(AND('(2) Family Pension'!$J$5="Yes",$D49&gt;0),S$8+R49,IF($D49&gt;0,Q$7+R49,0))</f>
        <v>0</v>
      </c>
      <c r="T49" s="58">
        <f>IF(AND($A$4="F",$D49&gt;0),ROUND(($D49-4709)/4,0),0)</f>
        <v>0</v>
      </c>
      <c r="U49" s="54">
        <f>IF(AND('(2) Family Pension'!$J$5="Yes",V$8&gt;0),ROUND(V$8*T49*0.001,0),IF(T$6&gt;0,ROUND(T$6*T49*0.001,0),0))</f>
        <v>0</v>
      </c>
      <c r="V49" s="62">
        <f>IF(AND('(2) Family Pension'!$J$5="Yes",$D49&gt;0),V$8+U49,IF($D49&gt;0,T$7+U49,0))</f>
        <v>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x14ac:dyDescent="0.25">
      <c r="A50" s="42">
        <v>40</v>
      </c>
      <c r="B50" s="43">
        <v>2013</v>
      </c>
      <c r="C50" s="44" t="s">
        <v>40</v>
      </c>
      <c r="D50" s="45">
        <v>4976</v>
      </c>
      <c r="E50" s="53">
        <f t="shared" si="0"/>
        <v>0</v>
      </c>
      <c r="F50" s="54">
        <f>IF(AND('(2) Family Pension'!$J$5="Yes",G$8&gt;0),ROUND(G$8*E50*0.0067,0),IF(E$6&gt;0,ROUND(E$6*E50*0.0067,0),0))</f>
        <v>0</v>
      </c>
      <c r="G50" s="62">
        <f>IF(AND('(2) Family Pension'!$J$5="Yes",$D50&gt;0),G$8+F50,IF($D50&gt;0,E$7+F50,0))</f>
        <v>0</v>
      </c>
      <c r="H50" s="58">
        <f t="shared" si="1"/>
        <v>0</v>
      </c>
      <c r="I50" s="54">
        <f>IF(AND('(2) Family Pension'!$J$5="Yes",J$8&gt;0),ROUND(J$8*H50*0.0035,0),IF(H$6&gt;0,ROUND(H$6*H50*0.0035,0),0))</f>
        <v>0</v>
      </c>
      <c r="J50" s="62">
        <f>IF(AND('(2) Family Pension'!$J$5="Yes",$D50&gt;0),J$8+I50,IF($D50&gt;0,H$7+I50,0))</f>
        <v>0</v>
      </c>
      <c r="K50" s="58">
        <f t="shared" si="2"/>
        <v>0</v>
      </c>
      <c r="L50" s="54">
        <f>IF(AND('(2) Family Pension'!$J$5="Yes",M$8&gt;0),ROUND(M$8*K50*0.0023,0),IF(K$6&gt;0,ROUND(K$6*K50*0.0023,0),0))</f>
        <v>0</v>
      </c>
      <c r="M50" s="62">
        <f>IF(AND('(2) Family Pension'!$J$5="Yes",$D50&gt;0),M$8+L50,IF($D50&gt;0,K$7+L50,0))</f>
        <v>0</v>
      </c>
      <c r="N50" s="58">
        <f t="shared" si="3"/>
        <v>0</v>
      </c>
      <c r="O50" s="54">
        <f>IF(AND('(2) Family Pension'!$J$5="Yes",P$8&gt;0),ROUND(P$8*N50*0.0018,0),IF(N$6&gt;0,ROUND(N$6*N50*0.0018,0),0))</f>
        <v>0</v>
      </c>
      <c r="P50" s="62">
        <f>IF(AND('(2) Family Pension'!$J$5="Yes",$D50&gt;0),P$8+O50,IF($D50&gt;0,N$7+O50,0))</f>
        <v>0</v>
      </c>
      <c r="Q50" s="58">
        <f t="shared" si="4"/>
        <v>0</v>
      </c>
      <c r="R50" s="54">
        <f>IF(AND('(2) Family Pension'!$J$5="Yes",S$8&gt;0),ROUND(S$8*Q50*0.0015,0),IF(Q$6&gt;0,ROUND(Q$6*Q50*0.0015,0),0))</f>
        <v>0</v>
      </c>
      <c r="S50" s="62">
        <f>IF(AND('(2) Family Pension'!$J$5="Yes",$D50&gt;0),S$8+R50,IF($D50&gt;0,Q$7+R50,0))</f>
        <v>0</v>
      </c>
      <c r="T50" s="58">
        <f t="shared" ref="T50:T75" si="5">IF(AND($A$4="F",$D50&gt;0),ROUND(($D50-4709)/4,0),0)</f>
        <v>0</v>
      </c>
      <c r="U50" s="54">
        <f>IF(AND('(2) Family Pension'!$J$5="Yes",V$8&gt;0),ROUND(V$8*T50*0.001,0),IF(T$6&gt;0,ROUND(T$6*T50*0.001,0),0))</f>
        <v>0</v>
      </c>
      <c r="V50" s="62">
        <f>IF(AND('(2) Family Pension'!$J$5="Yes",$D50&gt;0),V$8+U50,IF($D50&gt;0,T$7+U50,0))</f>
        <v>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x14ac:dyDescent="0.25">
      <c r="A51" s="42">
        <v>41</v>
      </c>
      <c r="B51" s="43">
        <v>2013</v>
      </c>
      <c r="C51" s="44" t="s">
        <v>41</v>
      </c>
      <c r="D51" s="45">
        <v>5208</v>
      </c>
      <c r="E51" s="53">
        <f t="shared" si="0"/>
        <v>0</v>
      </c>
      <c r="F51" s="54">
        <f>IF(AND('(2) Family Pension'!$J$5="Yes",G$8&gt;0),ROUND(G$8*E51*0.0067,0),IF(E$6&gt;0,ROUND(E$6*E51*0.0067,0),0))</f>
        <v>0</v>
      </c>
      <c r="G51" s="62">
        <f>IF(AND('(2) Family Pension'!$J$5="Yes",$D51&gt;0),G$8+F51,IF($D51&gt;0,E$7+F51,0))</f>
        <v>0</v>
      </c>
      <c r="H51" s="58">
        <f t="shared" si="1"/>
        <v>0</v>
      </c>
      <c r="I51" s="54">
        <f>IF(AND('(2) Family Pension'!$J$5="Yes",J$8&gt;0),ROUND(J$8*H51*0.0035,0),IF(H$6&gt;0,ROUND(H$6*H51*0.0035,0),0))</f>
        <v>0</v>
      </c>
      <c r="J51" s="62">
        <f>IF(AND('(2) Family Pension'!$J$5="Yes",$D51&gt;0),J$8+I51,IF($D51&gt;0,H$7+I51,0))</f>
        <v>0</v>
      </c>
      <c r="K51" s="58">
        <f t="shared" si="2"/>
        <v>0</v>
      </c>
      <c r="L51" s="54">
        <f>IF(AND('(2) Family Pension'!$J$5="Yes",M$8&gt;0),ROUND(M$8*K51*0.0023,0),IF(K$6&gt;0,ROUND(K$6*K51*0.0023,0),0))</f>
        <v>0</v>
      </c>
      <c r="M51" s="62">
        <f>IF(AND('(2) Family Pension'!$J$5="Yes",$D51&gt;0),M$8+L51,IF($D51&gt;0,K$7+L51,0))</f>
        <v>0</v>
      </c>
      <c r="N51" s="58">
        <f t="shared" si="3"/>
        <v>0</v>
      </c>
      <c r="O51" s="54">
        <f>IF(AND('(2) Family Pension'!$J$5="Yes",P$8&gt;0),ROUND(P$8*N51*0.0018,0),IF(N$6&gt;0,ROUND(N$6*N51*0.0018,0),0))</f>
        <v>0</v>
      </c>
      <c r="P51" s="62">
        <f>IF(AND('(2) Family Pension'!$J$5="Yes",$D51&gt;0),P$8+O51,IF($D51&gt;0,N$7+O51,0))</f>
        <v>0</v>
      </c>
      <c r="Q51" s="58">
        <f t="shared" si="4"/>
        <v>0</v>
      </c>
      <c r="R51" s="54">
        <f>IF(AND('(2) Family Pension'!$J$5="Yes",S$8&gt;0),ROUND(S$8*Q51*0.0015,0),IF(Q$6&gt;0,ROUND(Q$6*Q51*0.0015,0),0))</f>
        <v>0</v>
      </c>
      <c r="S51" s="62">
        <f>IF(AND('(2) Family Pension'!$J$5="Yes",$D51&gt;0),S$8+R51,IF($D51&gt;0,Q$7+R51,0))</f>
        <v>0</v>
      </c>
      <c r="T51" s="58">
        <f t="shared" si="5"/>
        <v>0</v>
      </c>
      <c r="U51" s="54">
        <f>IF(AND('(2) Family Pension'!$J$5="Yes",V$8&gt;0),ROUND(V$8*T51*0.001,0),IF(T$6&gt;0,ROUND(T$6*T51*0.001,0),0))</f>
        <v>0</v>
      </c>
      <c r="V51" s="62">
        <f>IF(AND('(2) Family Pension'!$J$5="Yes",$D51&gt;0),V$8+U51,IF($D51&gt;0,T$7+U51,0))</f>
        <v>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5.75" x14ac:dyDescent="0.25">
      <c r="A52" s="42">
        <v>42</v>
      </c>
      <c r="B52" s="43">
        <v>2014</v>
      </c>
      <c r="C52" s="44" t="s">
        <v>40</v>
      </c>
      <c r="D52" s="45">
        <v>5500</v>
      </c>
      <c r="E52" s="53">
        <f t="shared" si="0"/>
        <v>0</v>
      </c>
      <c r="F52" s="54">
        <f>IF(AND('(2) Family Pension'!$J$5="Yes",G$8&gt;0),ROUND(G$8*E52*0.0067,0),IF(E$6&gt;0,ROUND(E$6*E52*0.0067,0),0))</f>
        <v>0</v>
      </c>
      <c r="G52" s="62">
        <f>IF(AND('(2) Family Pension'!$J$5="Yes",$D52&gt;0),G$8+F52,IF($D52&gt;0,E$7+F52,0))</f>
        <v>0</v>
      </c>
      <c r="H52" s="58">
        <f t="shared" si="1"/>
        <v>0</v>
      </c>
      <c r="I52" s="54">
        <f>IF(AND('(2) Family Pension'!$J$5="Yes",J$8&gt;0),ROUND(J$8*H52*0.0035,0),IF(H$6&gt;0,ROUND(H$6*H52*0.0035,0),0))</f>
        <v>0</v>
      </c>
      <c r="J52" s="62">
        <f>IF(AND('(2) Family Pension'!$J$5="Yes",$D52&gt;0),J$8+I52,IF($D52&gt;0,H$7+I52,0))</f>
        <v>0</v>
      </c>
      <c r="K52" s="58">
        <f t="shared" si="2"/>
        <v>0</v>
      </c>
      <c r="L52" s="54">
        <f>IF(AND('(2) Family Pension'!$J$5="Yes",M$8&gt;0),ROUND(M$8*K52*0.0023,0),IF(K$6&gt;0,ROUND(K$6*K52*0.0023,0),0))</f>
        <v>0</v>
      </c>
      <c r="M52" s="62">
        <f>IF(AND('(2) Family Pension'!$J$5="Yes",$D52&gt;0),M$8+L52,IF($D52&gt;0,K$7+L52,0))</f>
        <v>0</v>
      </c>
      <c r="N52" s="58">
        <f t="shared" si="3"/>
        <v>0</v>
      </c>
      <c r="O52" s="54">
        <f>IF(AND('(2) Family Pension'!$J$5="Yes",P$8&gt;0),ROUND(P$8*N52*0.0018,0),IF(N$6&gt;0,ROUND(N$6*N52*0.0018,0),0))</f>
        <v>0</v>
      </c>
      <c r="P52" s="62">
        <f>IF(AND('(2) Family Pension'!$J$5="Yes",$D52&gt;0),P$8+O52,IF($D52&gt;0,N$7+O52,0))</f>
        <v>0</v>
      </c>
      <c r="Q52" s="58">
        <f t="shared" si="4"/>
        <v>0</v>
      </c>
      <c r="R52" s="54">
        <f>IF(AND('(2) Family Pension'!$J$5="Yes",S$8&gt;0),ROUND(S$8*Q52*0.0015,0),IF(Q$6&gt;0,ROUND(Q$6*Q52*0.0015,0),0))</f>
        <v>0</v>
      </c>
      <c r="S52" s="62">
        <f>IF(AND('(2) Family Pension'!$J$5="Yes",$D52&gt;0),S$8+R52,IF($D52&gt;0,Q$7+R52,0))</f>
        <v>0</v>
      </c>
      <c r="T52" s="58">
        <f t="shared" si="5"/>
        <v>0</v>
      </c>
      <c r="U52" s="54">
        <f>IF(AND('(2) Family Pension'!$J$5="Yes",V$8&gt;0),ROUND(V$8*T52*0.001,0),IF(T$6&gt;0,ROUND(T$6*T52*0.001,0),0))</f>
        <v>0</v>
      </c>
      <c r="V52" s="62">
        <f>IF(AND('(2) Family Pension'!$J$5="Yes",$D52&gt;0),V$8+U52,IF($D52&gt;0,T$7+U52,0))</f>
        <v>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5.75" x14ac:dyDescent="0.25">
      <c r="A53" s="42">
        <v>43</v>
      </c>
      <c r="B53" s="43">
        <v>2014</v>
      </c>
      <c r="C53" s="44" t="s">
        <v>41</v>
      </c>
      <c r="D53" s="45">
        <v>5568</v>
      </c>
      <c r="E53" s="53">
        <f t="shared" si="0"/>
        <v>0</v>
      </c>
      <c r="F53" s="54">
        <f>IF(AND('(2) Family Pension'!$J$5="Yes",G$8&gt;0),ROUND(G$8*E53*0.0067,0),IF(E$6&gt;0,ROUND(E$6*E53*0.0067,0),0))</f>
        <v>0</v>
      </c>
      <c r="G53" s="62">
        <f>IF(AND('(2) Family Pension'!$J$5="Yes",$D53&gt;0),G$8+F53,IF($D53&gt;0,E$7+F53,0))</f>
        <v>0</v>
      </c>
      <c r="H53" s="58">
        <f t="shared" si="1"/>
        <v>0</v>
      </c>
      <c r="I53" s="54">
        <f>IF(AND('(2) Family Pension'!$J$5="Yes",J$8&gt;0),ROUND(J$8*H53*0.0035,0),IF(H$6&gt;0,ROUND(H$6*H53*0.0035,0),0))</f>
        <v>0</v>
      </c>
      <c r="J53" s="62">
        <f>IF(AND('(2) Family Pension'!$J$5="Yes",$D53&gt;0),J$8+I53,IF($D53&gt;0,H$7+I53,0))</f>
        <v>0</v>
      </c>
      <c r="K53" s="58">
        <f t="shared" si="2"/>
        <v>0</v>
      </c>
      <c r="L53" s="54">
        <f>IF(AND('(2) Family Pension'!$J$5="Yes",M$8&gt;0),ROUND(M$8*K53*0.0023,0),IF(K$6&gt;0,ROUND(K$6*K53*0.0023,0),0))</f>
        <v>0</v>
      </c>
      <c r="M53" s="62">
        <f>IF(AND('(2) Family Pension'!$J$5="Yes",$D53&gt;0),M$8+L53,IF($D53&gt;0,K$7+L53,0))</f>
        <v>0</v>
      </c>
      <c r="N53" s="58">
        <f t="shared" si="3"/>
        <v>0</v>
      </c>
      <c r="O53" s="54">
        <f>IF(AND('(2) Family Pension'!$J$5="Yes",P$8&gt;0),ROUND(P$8*N53*0.0018,0),IF(N$6&gt;0,ROUND(N$6*N53*0.0018,0),0))</f>
        <v>0</v>
      </c>
      <c r="P53" s="62">
        <f>IF(AND('(2) Family Pension'!$J$5="Yes",$D53&gt;0),P$8+O53,IF($D53&gt;0,N$7+O53,0))</f>
        <v>0</v>
      </c>
      <c r="Q53" s="58">
        <f t="shared" si="4"/>
        <v>0</v>
      </c>
      <c r="R53" s="54">
        <f>IF(AND('(2) Family Pension'!$J$5="Yes",S$8&gt;0),ROUND(S$8*Q53*0.0015,0),IF(Q$6&gt;0,ROUND(Q$6*Q53*0.0015,0),0))</f>
        <v>0</v>
      </c>
      <c r="S53" s="62">
        <f>IF(AND('(2) Family Pension'!$J$5="Yes",$D53&gt;0),S$8+R53,IF($D53&gt;0,Q$7+R53,0))</f>
        <v>0</v>
      </c>
      <c r="T53" s="58">
        <f t="shared" si="5"/>
        <v>0</v>
      </c>
      <c r="U53" s="54">
        <f>IF(AND('(2) Family Pension'!$J$5="Yes",V$8&gt;0),ROUND(V$8*T53*0.001,0),IF(T$6&gt;0,ROUND(T$6*T53*0.001,0),0))</f>
        <v>0</v>
      </c>
      <c r="V53" s="62">
        <f>IF(AND('(2) Family Pension'!$J$5="Yes",$D53&gt;0),V$8+U53,IF($D53&gt;0,T$7+U53,0))</f>
        <v>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5.75" x14ac:dyDescent="0.25">
      <c r="A54" s="42">
        <v>44</v>
      </c>
      <c r="B54" s="43">
        <v>2015</v>
      </c>
      <c r="C54" s="44" t="s">
        <v>40</v>
      </c>
      <c r="D54" s="45">
        <v>5772</v>
      </c>
      <c r="E54" s="53">
        <f t="shared" si="0"/>
        <v>0</v>
      </c>
      <c r="F54" s="54">
        <f>IF(AND('(2) Family Pension'!$J$5="Yes",G$8&gt;0),ROUND(G$8*E54*0.0067,0),IF(E$6&gt;0,ROUND(E$6*E54*0.0067,0),0))</f>
        <v>0</v>
      </c>
      <c r="G54" s="62">
        <f>IF(AND('(2) Family Pension'!$J$5="Yes",$D54&gt;0),G$8+F54,IF($D54&gt;0,E$7+F54,0))</f>
        <v>0</v>
      </c>
      <c r="H54" s="58">
        <f t="shared" si="1"/>
        <v>0</v>
      </c>
      <c r="I54" s="54">
        <f>IF(AND('(2) Family Pension'!$J$5="Yes",J$8&gt;0),ROUND(J$8*H54*0.0035,0),IF(H$6&gt;0,ROUND(H$6*H54*0.0035,0),0))</f>
        <v>0</v>
      </c>
      <c r="J54" s="62">
        <f>IF(AND('(2) Family Pension'!$J$5="Yes",$D54&gt;0),J$8+I54,IF($D54&gt;0,H$7+I54,0))</f>
        <v>0</v>
      </c>
      <c r="K54" s="58">
        <f t="shared" si="2"/>
        <v>0</v>
      </c>
      <c r="L54" s="54">
        <f>IF(AND('(2) Family Pension'!$J$5="Yes",M$8&gt;0),ROUND(M$8*K54*0.0023,0),IF(K$6&gt;0,ROUND(K$6*K54*0.0023,0),0))</f>
        <v>0</v>
      </c>
      <c r="M54" s="62">
        <f>IF(AND('(2) Family Pension'!$J$5="Yes",$D54&gt;0),M$8+L54,IF($D54&gt;0,K$7+L54,0))</f>
        <v>0</v>
      </c>
      <c r="N54" s="58">
        <f t="shared" si="3"/>
        <v>0</v>
      </c>
      <c r="O54" s="54">
        <f>IF(AND('(2) Family Pension'!$J$5="Yes",P$8&gt;0),ROUND(P$8*N54*0.0018,0),IF(N$6&gt;0,ROUND(N$6*N54*0.0018,0),0))</f>
        <v>0</v>
      </c>
      <c r="P54" s="62">
        <f>IF(AND('(2) Family Pension'!$J$5="Yes",$D54&gt;0),P$8+O54,IF($D54&gt;0,N$7+O54,0))</f>
        <v>0</v>
      </c>
      <c r="Q54" s="58">
        <f t="shared" si="4"/>
        <v>0</v>
      </c>
      <c r="R54" s="54">
        <f>IF(AND('(2) Family Pension'!$J$5="Yes",S$8&gt;0),ROUND(S$8*Q54*0.0015,0),IF(Q$6&gt;0,ROUND(Q$6*Q54*0.0015,0),0))</f>
        <v>0</v>
      </c>
      <c r="S54" s="62">
        <f>IF(AND('(2) Family Pension'!$J$5="Yes",$D54&gt;0),S$8+R54,IF($D54&gt;0,Q$7+R54,0))</f>
        <v>0</v>
      </c>
      <c r="T54" s="58">
        <f t="shared" si="5"/>
        <v>0</v>
      </c>
      <c r="U54" s="54">
        <f>IF(AND('(2) Family Pension'!$J$5="Yes",V$8&gt;0),ROUND(V$8*T54*0.001,0),IF(T$6&gt;0,ROUND(T$6*T54*0.001,0),0))</f>
        <v>0</v>
      </c>
      <c r="V54" s="62">
        <f>IF(AND('(2) Family Pension'!$J$5="Yes",$D54&gt;0),V$8+U54,IF($D54&gt;0,T$7+U54,0))</f>
        <v>0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5.75" x14ac:dyDescent="0.25">
      <c r="A55" s="42">
        <v>45</v>
      </c>
      <c r="B55" s="43">
        <v>2015</v>
      </c>
      <c r="C55" s="44" t="s">
        <v>41</v>
      </c>
      <c r="D55" s="45">
        <v>5896</v>
      </c>
      <c r="E55" s="53">
        <f t="shared" si="0"/>
        <v>0</v>
      </c>
      <c r="F55" s="54">
        <f>IF(AND('(2) Family Pension'!$J$5="Yes",G$8&gt;0),ROUND(G$8*E55*0.0067,0),IF(E$6&gt;0,ROUND(E$6*E55*0.0067,0),0))</f>
        <v>0</v>
      </c>
      <c r="G55" s="62">
        <f>IF(AND('(2) Family Pension'!$J$5="Yes",$D55&gt;0),G$8+F55,IF($D55&gt;0,E$7+F55,0))</f>
        <v>0</v>
      </c>
      <c r="H55" s="58">
        <f t="shared" si="1"/>
        <v>0</v>
      </c>
      <c r="I55" s="54">
        <f>IF(AND('(2) Family Pension'!$J$5="Yes",J$8&gt;0),ROUND(J$8*H55*0.0035,0),IF(H$6&gt;0,ROUND(H$6*H55*0.0035,0),0))</f>
        <v>0</v>
      </c>
      <c r="J55" s="62">
        <f>IF(AND('(2) Family Pension'!$J$5="Yes",$D55&gt;0),J$8+I55,IF($D55&gt;0,H$7+I55,0))</f>
        <v>0</v>
      </c>
      <c r="K55" s="58">
        <f t="shared" si="2"/>
        <v>0</v>
      </c>
      <c r="L55" s="54">
        <f>IF(AND('(2) Family Pension'!$J$5="Yes",M$8&gt;0),ROUND(M$8*K55*0.0023,0),IF(K$6&gt;0,ROUND(K$6*K55*0.0023,0),0))</f>
        <v>0</v>
      </c>
      <c r="M55" s="62">
        <f>IF(AND('(2) Family Pension'!$J$5="Yes",$D55&gt;0),M$8+L55,IF($D55&gt;0,K$7+L55,0))</f>
        <v>0</v>
      </c>
      <c r="N55" s="58">
        <f t="shared" si="3"/>
        <v>0</v>
      </c>
      <c r="O55" s="54">
        <f>IF(AND('(2) Family Pension'!$J$5="Yes",P$8&gt;0),ROUND(P$8*N55*0.0018,0),IF(N$6&gt;0,ROUND(N$6*N55*0.0018,0),0))</f>
        <v>0</v>
      </c>
      <c r="P55" s="62">
        <f>IF(AND('(2) Family Pension'!$J$5="Yes",$D55&gt;0),P$8+O55,IF($D55&gt;0,N$7+O55,0))</f>
        <v>0</v>
      </c>
      <c r="Q55" s="58">
        <f t="shared" si="4"/>
        <v>0</v>
      </c>
      <c r="R55" s="54">
        <f>IF(AND('(2) Family Pension'!$J$5="Yes",S$8&gt;0),ROUND(S$8*Q55*0.0015,0),IF(Q$6&gt;0,ROUND(Q$6*Q55*0.0015,0),0))</f>
        <v>0</v>
      </c>
      <c r="S55" s="62">
        <f>IF(AND('(2) Family Pension'!$J$5="Yes",$D55&gt;0),S$8+R55,IF($D55&gt;0,Q$7+R55,0))</f>
        <v>0</v>
      </c>
      <c r="T55" s="58">
        <f t="shared" si="5"/>
        <v>0</v>
      </c>
      <c r="U55" s="54">
        <f>IF(AND('(2) Family Pension'!$J$5="Yes",V$8&gt;0),ROUND(V$8*T55*0.001,0),IF(T$6&gt;0,ROUND(T$6*T55*0.001,0),0))</f>
        <v>0</v>
      </c>
      <c r="V55" s="62">
        <f>IF(AND('(2) Family Pension'!$J$5="Yes",$D55&gt;0),V$8+U55,IF($D55&gt;0,T$7+U55,0))</f>
        <v>0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5.75" x14ac:dyDescent="0.25">
      <c r="A56" s="42">
        <v>46</v>
      </c>
      <c r="B56" s="43">
        <v>2016</v>
      </c>
      <c r="C56" s="44" t="s">
        <v>40</v>
      </c>
      <c r="D56" s="45">
        <v>6144</v>
      </c>
      <c r="E56" s="53">
        <f t="shared" si="0"/>
        <v>0</v>
      </c>
      <c r="F56" s="54">
        <f>IF(AND('(2) Family Pension'!$J$5="Yes",G$8&gt;0),ROUND(G$8*E56*0.0067,0),IF(E$6&gt;0,ROUND(E$6*E56*0.0067,0),0))</f>
        <v>0</v>
      </c>
      <c r="G56" s="62">
        <f>IF(AND('(2) Family Pension'!$J$5="Yes",$D56&gt;0),G$8+F56,IF($D56&gt;0,E$7+F56,0))</f>
        <v>0</v>
      </c>
      <c r="H56" s="58">
        <f t="shared" si="1"/>
        <v>0</v>
      </c>
      <c r="I56" s="54">
        <f>IF(AND('(2) Family Pension'!$J$5="Yes",J$8&gt;0),ROUND(J$8*H56*0.0035,0),IF(H$6&gt;0,ROUND(H$6*H56*0.0035,0),0))</f>
        <v>0</v>
      </c>
      <c r="J56" s="62">
        <f>IF(AND('(2) Family Pension'!$J$5="Yes",$D56&gt;0),J$8+I56,IF($D56&gt;0,H$7+I56,0))</f>
        <v>0</v>
      </c>
      <c r="K56" s="58">
        <f t="shared" si="2"/>
        <v>0</v>
      </c>
      <c r="L56" s="54">
        <f>IF(AND('(2) Family Pension'!$J$5="Yes",M$8&gt;0),ROUND(M$8*K56*0.0023,0),IF(K$6&gt;0,ROUND(K$6*K56*0.0023,0),0))</f>
        <v>0</v>
      </c>
      <c r="M56" s="62">
        <f>IF(AND('(2) Family Pension'!$J$5="Yes",$D56&gt;0),M$8+L56,IF($D56&gt;0,K$7+L56,0))</f>
        <v>0</v>
      </c>
      <c r="N56" s="58">
        <f t="shared" si="3"/>
        <v>0</v>
      </c>
      <c r="O56" s="54">
        <f>IF(AND('(2) Family Pension'!$J$5="Yes",P$8&gt;0),ROUND(P$8*N56*0.0018,0),IF(N$6&gt;0,ROUND(N$6*N56*0.0018,0),0))</f>
        <v>0</v>
      </c>
      <c r="P56" s="62">
        <f>IF(AND('(2) Family Pension'!$J$5="Yes",$D56&gt;0),P$8+O56,IF($D56&gt;0,N$7+O56,0))</f>
        <v>0</v>
      </c>
      <c r="Q56" s="58">
        <f t="shared" si="4"/>
        <v>0</v>
      </c>
      <c r="R56" s="54">
        <f>IF(AND('(2) Family Pension'!$J$5="Yes",S$8&gt;0),ROUND(S$8*Q56*0.0015,0),IF(Q$6&gt;0,ROUND(Q$6*Q56*0.0015,0),0))</f>
        <v>0</v>
      </c>
      <c r="S56" s="62">
        <f>IF(AND('(2) Family Pension'!$J$5="Yes",$D56&gt;0),S$8+R56,IF($D56&gt;0,Q$7+R56,0))</f>
        <v>0</v>
      </c>
      <c r="T56" s="58">
        <f t="shared" si="5"/>
        <v>0</v>
      </c>
      <c r="U56" s="54">
        <f>IF(AND('(2) Family Pension'!$J$5="Yes",V$8&gt;0),ROUND(V$8*T56*0.001,0),IF(T$6&gt;0,ROUND(T$6*T56*0.001,0),0))</f>
        <v>0</v>
      </c>
      <c r="V56" s="62">
        <f>IF(AND('(2) Family Pension'!$J$5="Yes",$D56&gt;0),V$8+U56,IF($D56&gt;0,T$7+U56,0))</f>
        <v>0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.75" x14ac:dyDescent="0.25">
      <c r="A57" s="42">
        <v>47</v>
      </c>
      <c r="B57" s="43">
        <v>2016</v>
      </c>
      <c r="C57" s="44" t="s">
        <v>41</v>
      </c>
      <c r="D57" s="45">
        <v>6260</v>
      </c>
      <c r="E57" s="53">
        <f t="shared" si="0"/>
        <v>0</v>
      </c>
      <c r="F57" s="54">
        <f>IF(AND('(2) Family Pension'!$J$5="Yes",G$8&gt;0),ROUND(G$8*E57*0.0067,0),IF(E$6&gt;0,ROUND(E$6*E57*0.0067,0),0))</f>
        <v>0</v>
      </c>
      <c r="G57" s="62">
        <f>IF(AND('(2) Family Pension'!$J$5="Yes",$D57&gt;0),G$8+F57,IF($D57&gt;0,E$7+F57,0))</f>
        <v>0</v>
      </c>
      <c r="H57" s="58">
        <f t="shared" si="1"/>
        <v>0</v>
      </c>
      <c r="I57" s="54">
        <f>IF(AND('(2) Family Pension'!$J$5="Yes",J$8&gt;0),ROUND(J$8*H57*0.0035,0),IF(H$6&gt;0,ROUND(H$6*H57*0.0035,0),0))</f>
        <v>0</v>
      </c>
      <c r="J57" s="62">
        <f>IF(AND('(2) Family Pension'!$J$5="Yes",$D57&gt;0),J$8+I57,IF($D57&gt;0,H$7+I57,0))</f>
        <v>0</v>
      </c>
      <c r="K57" s="58">
        <f t="shared" si="2"/>
        <v>0</v>
      </c>
      <c r="L57" s="54">
        <f>IF(AND('(2) Family Pension'!$J$5="Yes",M$8&gt;0),ROUND(M$8*K57*0.0023,0),IF(K$6&gt;0,ROUND(K$6*K57*0.0023,0),0))</f>
        <v>0</v>
      </c>
      <c r="M57" s="62">
        <f>IF(AND('(2) Family Pension'!$J$5="Yes",$D57&gt;0),M$8+L57,IF($D57&gt;0,K$7+L57,0))</f>
        <v>0</v>
      </c>
      <c r="N57" s="58">
        <f t="shared" si="3"/>
        <v>0</v>
      </c>
      <c r="O57" s="54">
        <f>IF(AND('(2) Family Pension'!$J$5="Yes",P$8&gt;0),ROUND(P$8*N57*0.0018,0),IF(N$6&gt;0,ROUND(N$6*N57*0.0018,0),0))</f>
        <v>0</v>
      </c>
      <c r="P57" s="62">
        <f>IF(AND('(2) Family Pension'!$J$5="Yes",$D57&gt;0),P$8+O57,IF($D57&gt;0,N$7+O57,0))</f>
        <v>0</v>
      </c>
      <c r="Q57" s="58">
        <f t="shared" si="4"/>
        <v>0</v>
      </c>
      <c r="R57" s="54">
        <f>IF(AND('(2) Family Pension'!$J$5="Yes",S$8&gt;0),ROUND(S$8*Q57*0.0015,0),IF(Q$6&gt;0,ROUND(Q$6*Q57*0.0015,0),0))</f>
        <v>0</v>
      </c>
      <c r="S57" s="62">
        <f>IF(AND('(2) Family Pension'!$J$5="Yes",$D57&gt;0),S$8+R57,IF($D57&gt;0,Q$7+R57,0))</f>
        <v>0</v>
      </c>
      <c r="T57" s="58">
        <f t="shared" si="5"/>
        <v>0</v>
      </c>
      <c r="U57" s="54">
        <f>IF(AND('(2) Family Pension'!$J$5="Yes",V$8&gt;0),ROUND(V$8*T57*0.001,0),IF(T$6&gt;0,ROUND(T$6*T57*0.001,0),0))</f>
        <v>0</v>
      </c>
      <c r="V57" s="62">
        <f>IF(AND('(2) Family Pension'!$J$5="Yes",$D57&gt;0),V$8+U57,IF($D57&gt;0,T$7+U57,0))</f>
        <v>0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.75" x14ac:dyDescent="0.25">
      <c r="A58" s="42">
        <v>48</v>
      </c>
      <c r="B58" s="43">
        <v>2017</v>
      </c>
      <c r="C58" s="44" t="s">
        <v>40</v>
      </c>
      <c r="D58" s="45">
        <v>6312</v>
      </c>
      <c r="E58" s="53">
        <f t="shared" si="0"/>
        <v>0</v>
      </c>
      <c r="F58" s="54">
        <f>IF(AND('(2) Family Pension'!$J$5="Yes",G$8&gt;0),ROUND(G$8*E58*0.0067,0),IF(E$6&gt;0,ROUND(E$6*E58*0.0067,0),0))</f>
        <v>0</v>
      </c>
      <c r="G58" s="62">
        <f>IF(AND('(2) Family Pension'!$J$5="Yes",$D58&gt;0),G$8+F58,IF($D58&gt;0,E$7+F58,0))</f>
        <v>0</v>
      </c>
      <c r="H58" s="58">
        <f t="shared" si="1"/>
        <v>0</v>
      </c>
      <c r="I58" s="54">
        <f>IF(AND('(2) Family Pension'!$J$5="Yes",J$8&gt;0),ROUND(J$8*H58*0.0035,0),IF(H$6&gt;0,ROUND(H$6*H58*0.0035,0),0))</f>
        <v>0</v>
      </c>
      <c r="J58" s="62">
        <f>IF(AND('(2) Family Pension'!$J$5="Yes",$D58&gt;0),J$8+I58,IF($D58&gt;0,H$7+I58,0))</f>
        <v>0</v>
      </c>
      <c r="K58" s="58">
        <f t="shared" si="2"/>
        <v>0</v>
      </c>
      <c r="L58" s="54">
        <f>IF(AND('(2) Family Pension'!$J$5="Yes",M$8&gt;0),ROUND(M$8*K58*0.0023,0),IF(K$6&gt;0,ROUND(K$6*K58*0.0023,0),0))</f>
        <v>0</v>
      </c>
      <c r="M58" s="62">
        <f>IF(AND('(2) Family Pension'!$J$5="Yes",$D58&gt;0),M$8+L58,IF($D58&gt;0,K$7+L58,0))</f>
        <v>0</v>
      </c>
      <c r="N58" s="58">
        <f t="shared" si="3"/>
        <v>0</v>
      </c>
      <c r="O58" s="54">
        <f>IF(AND('(2) Family Pension'!$J$5="Yes",P$8&gt;0),ROUND(P$8*N58*0.0018,0),IF(N$6&gt;0,ROUND(N$6*N58*0.0018,0),0))</f>
        <v>0</v>
      </c>
      <c r="P58" s="62">
        <f>IF(AND('(2) Family Pension'!$J$5="Yes",$D58&gt;0),P$8+O58,IF($D58&gt;0,N$7+O58,0))</f>
        <v>0</v>
      </c>
      <c r="Q58" s="58">
        <f t="shared" si="4"/>
        <v>0</v>
      </c>
      <c r="R58" s="54">
        <f>IF(AND('(2) Family Pension'!$J$5="Yes",S$8&gt;0),ROUND(S$8*Q58*0.0015,0),IF(Q$6&gt;0,ROUND(Q$6*Q58*0.0015,0),0))</f>
        <v>0</v>
      </c>
      <c r="S58" s="62">
        <f>IF(AND('(2) Family Pension'!$J$5="Yes",$D58&gt;0),S$8+R58,IF($D58&gt;0,Q$7+R58,0))</f>
        <v>0</v>
      </c>
      <c r="T58" s="58">
        <f t="shared" si="5"/>
        <v>0</v>
      </c>
      <c r="U58" s="54">
        <f>IF(AND('(2) Family Pension'!$J$5="Yes",V$8&gt;0),ROUND(V$8*T58*0.001,0),IF(T$6&gt;0,ROUND(T$6*T58*0.001,0),0))</f>
        <v>0</v>
      </c>
      <c r="V58" s="62">
        <f>IF(AND('(2) Family Pension'!$J$5="Yes",$D58&gt;0),V$8+U58,IF($D58&gt;0,T$7+U58,0))</f>
        <v>0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.75" x14ac:dyDescent="0.25">
      <c r="A59" s="42">
        <v>49</v>
      </c>
      <c r="B59" s="43">
        <v>2017</v>
      </c>
      <c r="C59" s="44" t="s">
        <v>41</v>
      </c>
      <c r="D59" s="45">
        <v>6352</v>
      </c>
      <c r="E59" s="53">
        <f t="shared" si="0"/>
        <v>0</v>
      </c>
      <c r="F59" s="54">
        <f>IF(AND('(2) Family Pension'!$J$5="Yes",G$8&gt;0),ROUND(G$8*E59*0.0067,0),IF(E$6&gt;0,ROUND(E$6*E59*0.0067,0),0))</f>
        <v>0</v>
      </c>
      <c r="G59" s="62">
        <f>IF(AND('(2) Family Pension'!$J$5="Yes",$D59&gt;0),G$8+F59,IF($D59&gt;0,E$7+F59,0))</f>
        <v>0</v>
      </c>
      <c r="H59" s="58">
        <f t="shared" si="1"/>
        <v>0</v>
      </c>
      <c r="I59" s="54">
        <f>IF(AND('(2) Family Pension'!$J$5="Yes",J$8&gt;0),ROUND(J$8*H59*0.0035,0),IF(H$6&gt;0,ROUND(H$6*H59*0.0035,0),0))</f>
        <v>0</v>
      </c>
      <c r="J59" s="62">
        <f>IF(AND('(2) Family Pension'!$J$5="Yes",$D59&gt;0),J$8+I59,IF($D59&gt;0,H$7+I59,0))</f>
        <v>0</v>
      </c>
      <c r="K59" s="58">
        <f t="shared" si="2"/>
        <v>0</v>
      </c>
      <c r="L59" s="54">
        <f>IF(AND('(2) Family Pension'!$J$5="Yes",M$8&gt;0),ROUND(M$8*K59*0.0023,0),IF(K$6&gt;0,ROUND(K$6*K59*0.0023,0),0))</f>
        <v>0</v>
      </c>
      <c r="M59" s="62">
        <f>IF(AND('(2) Family Pension'!$J$5="Yes",$D59&gt;0),M$8+L59,IF($D59&gt;0,K$7+L59,0))</f>
        <v>0</v>
      </c>
      <c r="N59" s="58">
        <f t="shared" si="3"/>
        <v>0</v>
      </c>
      <c r="O59" s="54">
        <f>IF(AND('(2) Family Pension'!$J$5="Yes",P$8&gt;0),ROUND(P$8*N59*0.0018,0),IF(N$6&gt;0,ROUND(N$6*N59*0.0018,0),0))</f>
        <v>0</v>
      </c>
      <c r="P59" s="62">
        <f>IF(AND('(2) Family Pension'!$J$5="Yes",$D59&gt;0),P$8+O59,IF($D59&gt;0,N$7+O59,0))</f>
        <v>0</v>
      </c>
      <c r="Q59" s="58">
        <f t="shared" si="4"/>
        <v>0</v>
      </c>
      <c r="R59" s="54">
        <f>IF(AND('(2) Family Pension'!$J$5="Yes",S$8&gt;0),ROUND(S$8*Q59*0.0015,0),IF(Q$6&gt;0,ROUND(Q$6*Q59*0.0015,0),0))</f>
        <v>0</v>
      </c>
      <c r="S59" s="62">
        <f>IF(AND('(2) Family Pension'!$J$5="Yes",$D59&gt;0),S$8+R59,IF($D59&gt;0,Q$7+R59,0))</f>
        <v>0</v>
      </c>
      <c r="T59" s="58">
        <f t="shared" si="5"/>
        <v>0</v>
      </c>
      <c r="U59" s="54">
        <f>IF(AND('(2) Family Pension'!$J$5="Yes",V$8&gt;0),ROUND(V$8*T59*0.001,0),IF(T$6&gt;0,ROUND(T$6*T59*0.001,0),0))</f>
        <v>0</v>
      </c>
      <c r="V59" s="62">
        <f>IF(AND('(2) Family Pension'!$J$5="Yes",$D59&gt;0),V$8+U59,IF($D59&gt;0,T$7+U59,0))</f>
        <v>0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.75" x14ac:dyDescent="0.25">
      <c r="A60" s="42">
        <v>50</v>
      </c>
      <c r="B60" s="43">
        <v>2018</v>
      </c>
      <c r="C60" s="44" t="s">
        <v>40</v>
      </c>
      <c r="D60" s="45">
        <v>6548</v>
      </c>
      <c r="E60" s="53">
        <f t="shared" si="0"/>
        <v>0</v>
      </c>
      <c r="F60" s="54">
        <f>IF(AND('(2) Family Pension'!$J$5="Yes",G$8&gt;0),ROUND(G$8*E60*0.0067,0),IF(E$6&gt;0,ROUND(E$6*E60*0.0067,0),0))</f>
        <v>0</v>
      </c>
      <c r="G60" s="62">
        <f>IF(AND('(2) Family Pension'!$J$5="Yes",$D60&gt;0),G$8+F60,IF($D60&gt;0,E$7+F60,0))</f>
        <v>0</v>
      </c>
      <c r="H60" s="58">
        <f t="shared" si="1"/>
        <v>0</v>
      </c>
      <c r="I60" s="54">
        <f>IF(AND('(2) Family Pension'!$J$5="Yes",J$8&gt;0),ROUND(J$8*H60*0.0035,0),IF(H$6&gt;0,ROUND(H$6*H60*0.0035,0),0))</f>
        <v>0</v>
      </c>
      <c r="J60" s="62">
        <f>IF(AND('(2) Family Pension'!$J$5="Yes",$D60&gt;0),J$8+I60,IF($D60&gt;0,H$7+I60,0))</f>
        <v>0</v>
      </c>
      <c r="K60" s="58">
        <f t="shared" si="2"/>
        <v>0</v>
      </c>
      <c r="L60" s="54">
        <f>IF(AND('(2) Family Pension'!$J$5="Yes",M$8&gt;0),ROUND(M$8*K60*0.0023,0),IF(K$6&gt;0,ROUND(K$6*K60*0.0023,0),0))</f>
        <v>0</v>
      </c>
      <c r="M60" s="62">
        <f>IF(AND('(2) Family Pension'!$J$5="Yes",$D60&gt;0),M$8+L60,IF($D60&gt;0,K$7+L60,0))</f>
        <v>0</v>
      </c>
      <c r="N60" s="58">
        <f t="shared" si="3"/>
        <v>0</v>
      </c>
      <c r="O60" s="54">
        <f>IF(AND('(2) Family Pension'!$J$5="Yes",P$8&gt;0),ROUND(P$8*N60*0.0018,0),IF(N$6&gt;0,ROUND(N$6*N60*0.0018,0),0))</f>
        <v>0</v>
      </c>
      <c r="P60" s="62">
        <f>IF(AND('(2) Family Pension'!$J$5="Yes",$D60&gt;0),P$8+O60,IF($D60&gt;0,N$7+O60,0))</f>
        <v>0</v>
      </c>
      <c r="Q60" s="58">
        <f t="shared" si="4"/>
        <v>0</v>
      </c>
      <c r="R60" s="54">
        <f>IF(AND('(2) Family Pension'!$J$5="Yes",S$8&gt;0),ROUND(S$8*Q60*0.0015,0),IF(Q$6&gt;0,ROUND(Q$6*Q60*0.0015,0),0))</f>
        <v>0</v>
      </c>
      <c r="S60" s="62">
        <f>IF(AND('(2) Family Pension'!$J$5="Yes",$D60&gt;0),S$8+R60,IF($D60&gt;0,Q$7+R60,0))</f>
        <v>0</v>
      </c>
      <c r="T60" s="58">
        <f t="shared" si="5"/>
        <v>0</v>
      </c>
      <c r="U60" s="54">
        <f>IF(AND('(2) Family Pension'!$J$5="Yes",V$8&gt;0),ROUND(V$8*T60*0.001,0),IF(T$6&gt;0,ROUND(T$6*T60*0.001,0),0))</f>
        <v>0</v>
      </c>
      <c r="V60" s="62">
        <f>IF(AND('(2) Family Pension'!$J$5="Yes",$D60&gt;0),V$8+U60,IF($D60&gt;0,T$7+U60,0))</f>
        <v>0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.75" x14ac:dyDescent="0.25">
      <c r="A61" s="42">
        <v>51</v>
      </c>
      <c r="B61" s="43">
        <v>2018</v>
      </c>
      <c r="C61" s="44" t="s">
        <v>41</v>
      </c>
      <c r="D61" s="45">
        <v>6604</v>
      </c>
      <c r="E61" s="53">
        <f t="shared" si="0"/>
        <v>0</v>
      </c>
      <c r="F61" s="54">
        <f>IF(AND('(2) Family Pension'!$J$5="Yes",G$8&gt;0),ROUND(G$8*E61*0.0067,0),IF(E$6&gt;0,ROUND(E$6*E61*0.0067,0),0))</f>
        <v>0</v>
      </c>
      <c r="G61" s="62">
        <f>IF(AND('(2) Family Pension'!$J$5="Yes",$D61&gt;0),G$8+F61,IF($D61&gt;0,E$7+F61,0))</f>
        <v>0</v>
      </c>
      <c r="H61" s="58">
        <f t="shared" si="1"/>
        <v>0</v>
      </c>
      <c r="I61" s="54">
        <f>IF(AND('(2) Family Pension'!$J$5="Yes",J$8&gt;0),ROUND(J$8*H61*0.0035,0),IF(H$6&gt;0,ROUND(H$6*H61*0.0035,0),0))</f>
        <v>0</v>
      </c>
      <c r="J61" s="62">
        <f>IF(AND('(2) Family Pension'!$J$5="Yes",$D61&gt;0),J$8+I61,IF($D61&gt;0,H$7+I61,0))</f>
        <v>0</v>
      </c>
      <c r="K61" s="58">
        <f t="shared" si="2"/>
        <v>0</v>
      </c>
      <c r="L61" s="54">
        <f>IF(AND('(2) Family Pension'!$J$5="Yes",M$8&gt;0),ROUND(M$8*K61*0.0023,0),IF(K$6&gt;0,ROUND(K$6*K61*0.0023,0),0))</f>
        <v>0</v>
      </c>
      <c r="M61" s="62">
        <f>IF(AND('(2) Family Pension'!$J$5="Yes",$D61&gt;0),M$8+L61,IF($D61&gt;0,K$7+L61,0))</f>
        <v>0</v>
      </c>
      <c r="N61" s="58">
        <f t="shared" si="3"/>
        <v>0</v>
      </c>
      <c r="O61" s="54">
        <f>IF(AND('(2) Family Pension'!$J$5="Yes",P$8&gt;0),ROUND(P$8*N61*0.0018,0),IF(N$6&gt;0,ROUND(N$6*N61*0.0018,0),0))</f>
        <v>0</v>
      </c>
      <c r="P61" s="62">
        <f>IF(AND('(2) Family Pension'!$J$5="Yes",$D61&gt;0),P$8+O61,IF($D61&gt;0,N$7+O61,0))</f>
        <v>0</v>
      </c>
      <c r="Q61" s="58">
        <f t="shared" si="4"/>
        <v>0</v>
      </c>
      <c r="R61" s="54">
        <f>IF(AND('(2) Family Pension'!$J$5="Yes",S$8&gt;0),ROUND(S$8*Q61*0.0015,0),IF(Q$6&gt;0,ROUND(Q$6*Q61*0.0015,0),0))</f>
        <v>0</v>
      </c>
      <c r="S61" s="62">
        <f>IF(AND('(2) Family Pension'!$J$5="Yes",$D61&gt;0),S$8+R61,IF($D61&gt;0,Q$7+R61,0))</f>
        <v>0</v>
      </c>
      <c r="T61" s="58">
        <f t="shared" si="5"/>
        <v>0</v>
      </c>
      <c r="U61" s="54">
        <f>IF(AND('(2) Family Pension'!$J$5="Yes",V$8&gt;0),ROUND(V$8*T61*0.001,0),IF(T$6&gt;0,ROUND(T$6*T61*0.001,0),0))</f>
        <v>0</v>
      </c>
      <c r="V61" s="62">
        <f>IF(AND('(2) Family Pension'!$J$5="Yes",$D61&gt;0),V$8+U61,IF($D61&gt;0,T$7+U61,0))</f>
        <v>0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.75" x14ac:dyDescent="0.25">
      <c r="A62" s="42">
        <v>52</v>
      </c>
      <c r="B62" s="43">
        <v>2019</v>
      </c>
      <c r="C62" s="44" t="s">
        <v>40</v>
      </c>
      <c r="D62" s="45">
        <v>6884</v>
      </c>
      <c r="E62" s="53">
        <f t="shared" si="0"/>
        <v>0</v>
      </c>
      <c r="F62" s="54">
        <f>IF(AND('(2) Family Pension'!$J$5="Yes",G$8&gt;0),ROUND(G$8*E62*0.0067,0),IF(E$6&gt;0,ROUND(E$6*E62*0.0067,0),0))</f>
        <v>0</v>
      </c>
      <c r="G62" s="62">
        <f>IF(AND('(2) Family Pension'!$J$5="Yes",$D62&gt;0),G$8+F62,IF($D62&gt;0,E$7+F62,0))</f>
        <v>0</v>
      </c>
      <c r="H62" s="58">
        <f t="shared" si="1"/>
        <v>0</v>
      </c>
      <c r="I62" s="54">
        <f>IF(AND('(2) Family Pension'!$J$5="Yes",J$8&gt;0),ROUND(J$8*H62*0.0035,0),IF(H$6&gt;0,ROUND(H$6*H62*0.0035,0),0))</f>
        <v>0</v>
      </c>
      <c r="J62" s="62">
        <f>IF(AND('(2) Family Pension'!$J$5="Yes",$D62&gt;0),J$8+I62,IF($D62&gt;0,H$7+I62,0))</f>
        <v>0</v>
      </c>
      <c r="K62" s="58">
        <f t="shared" si="2"/>
        <v>0</v>
      </c>
      <c r="L62" s="54">
        <f>IF(AND('(2) Family Pension'!$J$5="Yes",M$8&gt;0),ROUND(M$8*K62*0.0023,0),IF(K$6&gt;0,ROUND(K$6*K62*0.0023,0),0))</f>
        <v>0</v>
      </c>
      <c r="M62" s="62">
        <f>IF(AND('(2) Family Pension'!$J$5="Yes",$D62&gt;0),M$8+L62,IF($D62&gt;0,K$7+L62,0))</f>
        <v>0</v>
      </c>
      <c r="N62" s="58">
        <f t="shared" si="3"/>
        <v>0</v>
      </c>
      <c r="O62" s="54">
        <f>IF(AND('(2) Family Pension'!$J$5="Yes",P$8&gt;0),ROUND(P$8*N62*0.0018,0),IF(N$6&gt;0,ROUND(N$6*N62*0.0018,0),0))</f>
        <v>0</v>
      </c>
      <c r="P62" s="62">
        <f>IF(AND('(2) Family Pension'!$J$5="Yes",$D62&gt;0),P$8+O62,IF($D62&gt;0,N$7+O62,0))</f>
        <v>0</v>
      </c>
      <c r="Q62" s="58">
        <f t="shared" si="4"/>
        <v>0</v>
      </c>
      <c r="R62" s="54">
        <f>IF(AND('(2) Family Pension'!$J$5="Yes",S$8&gt;0),ROUND(S$8*Q62*0.0015,0),IF(Q$6&gt;0,ROUND(Q$6*Q62*0.0015,0),0))</f>
        <v>0</v>
      </c>
      <c r="S62" s="62">
        <f>IF(AND('(2) Family Pension'!$J$5="Yes",$D62&gt;0),S$8+R62,IF($D62&gt;0,Q$7+R62,0))</f>
        <v>0</v>
      </c>
      <c r="T62" s="58">
        <f t="shared" si="5"/>
        <v>0</v>
      </c>
      <c r="U62" s="54">
        <f>IF(AND('(2) Family Pension'!$J$5="Yes",V$8&gt;0),ROUND(V$8*T62*0.001,0),IF(T$6&gt;0,ROUND(T$6*T62*0.001,0),0))</f>
        <v>0</v>
      </c>
      <c r="V62" s="62">
        <f>IF(AND('(2) Family Pension'!$J$5="Yes",$D62&gt;0),V$8+U62,IF($D62&gt;0,T$7+U62,0))</f>
        <v>0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.75" x14ac:dyDescent="0.25">
      <c r="A63" s="42">
        <v>53</v>
      </c>
      <c r="B63" s="43">
        <v>2019</v>
      </c>
      <c r="C63" s="44" t="s">
        <v>41</v>
      </c>
      <c r="D63" s="45">
        <v>7164</v>
      </c>
      <c r="E63" s="53">
        <f t="shared" si="0"/>
        <v>0</v>
      </c>
      <c r="F63" s="54">
        <f>IF(AND('(2) Family Pension'!$J$5="Yes",G$8&gt;0),ROUND(G$8*E63*0.0067,0),IF(E$6&gt;0,ROUND(E$6*E63*0.0067,0),0))</f>
        <v>0</v>
      </c>
      <c r="G63" s="62">
        <f>IF(AND('(2) Family Pension'!$J$5="Yes",$D63&gt;0),G$8+F63,IF($D63&gt;0,E$7+F63,0))</f>
        <v>0</v>
      </c>
      <c r="H63" s="58">
        <f t="shared" si="1"/>
        <v>0</v>
      </c>
      <c r="I63" s="54">
        <f>IF(AND('(2) Family Pension'!$J$5="Yes",J$8&gt;0),ROUND(J$8*H63*0.0035,0),IF(H$6&gt;0,ROUND(H$6*H63*0.0035,0),0))</f>
        <v>0</v>
      </c>
      <c r="J63" s="62">
        <f>IF(AND('(2) Family Pension'!$J$5="Yes",$D63&gt;0),J$8+I63,IF($D63&gt;0,H$7+I63,0))</f>
        <v>0</v>
      </c>
      <c r="K63" s="58">
        <f t="shared" si="2"/>
        <v>0</v>
      </c>
      <c r="L63" s="54">
        <f>IF(AND('(2) Family Pension'!$J$5="Yes",M$8&gt;0),ROUND(M$8*K63*0.0023,0),IF(K$6&gt;0,ROUND(K$6*K63*0.0023,0),0))</f>
        <v>0</v>
      </c>
      <c r="M63" s="62">
        <f>IF(AND('(2) Family Pension'!$J$5="Yes",$D63&gt;0),M$8+L63,IF($D63&gt;0,K$7+L63,0))</f>
        <v>0</v>
      </c>
      <c r="N63" s="58">
        <f t="shared" si="3"/>
        <v>0</v>
      </c>
      <c r="O63" s="54">
        <f>IF(AND('(2) Family Pension'!$J$5="Yes",P$8&gt;0),ROUND(P$8*N63*0.0018,0),IF(N$6&gt;0,ROUND(N$6*N63*0.0018,0),0))</f>
        <v>0</v>
      </c>
      <c r="P63" s="62">
        <f>IF(AND('(2) Family Pension'!$J$5="Yes",$D63&gt;0),P$8+O63,IF($D63&gt;0,N$7+O63,0))</f>
        <v>0</v>
      </c>
      <c r="Q63" s="58">
        <f t="shared" si="4"/>
        <v>0</v>
      </c>
      <c r="R63" s="54">
        <f>IF(AND('(2) Family Pension'!$J$5="Yes",S$8&gt;0),ROUND(S$8*Q63*0.0015,0),IF(Q$6&gt;0,ROUND(Q$6*Q63*0.0015,0),0))</f>
        <v>0</v>
      </c>
      <c r="S63" s="62">
        <f>IF(AND('(2) Family Pension'!$J$5="Yes",$D63&gt;0),S$8+R63,IF($D63&gt;0,Q$7+R63,0))</f>
        <v>0</v>
      </c>
      <c r="T63" s="58">
        <f t="shared" si="5"/>
        <v>0</v>
      </c>
      <c r="U63" s="54">
        <f>IF(AND('(2) Family Pension'!$J$5="Yes",V$8&gt;0),ROUND(V$8*T63*0.001,0),IF(T$6&gt;0,ROUND(T$6*T63*0.001,0),0))</f>
        <v>0</v>
      </c>
      <c r="V63" s="62">
        <f>IF(AND('(2) Family Pension'!$J$5="Yes",$D63&gt;0),V$8+U63,IF($D63&gt;0,T$7+U63,0))</f>
        <v>0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.75" x14ac:dyDescent="0.25">
      <c r="A64" s="42">
        <v>54</v>
      </c>
      <c r="B64" s="43">
        <v>2020</v>
      </c>
      <c r="C64" s="44" t="s">
        <v>40</v>
      </c>
      <c r="D64" s="45">
        <v>7476</v>
      </c>
      <c r="E64" s="53">
        <f t="shared" si="0"/>
        <v>0</v>
      </c>
      <c r="F64" s="54">
        <f>IF(AND('(2) Family Pension'!$J$5="Yes",G$8&gt;0),ROUND(G$8*E64*0.0067,0),IF(E$6&gt;0,ROUND(E$6*E64*0.0067,0),0))</f>
        <v>0</v>
      </c>
      <c r="G64" s="62">
        <f>IF(AND('(2) Family Pension'!$J$5="Yes",$D64&gt;0),G$8+F64,IF($D64&gt;0,E$7+F64,0))</f>
        <v>0</v>
      </c>
      <c r="H64" s="58">
        <f t="shared" si="1"/>
        <v>0</v>
      </c>
      <c r="I64" s="54">
        <f>IF(AND('(2) Family Pension'!$J$5="Yes",J$8&gt;0),ROUND(J$8*H64*0.0035,0),IF(H$6&gt;0,ROUND(H$6*H64*0.0035,0),0))</f>
        <v>0</v>
      </c>
      <c r="J64" s="62">
        <f>IF(AND('(2) Family Pension'!$J$5="Yes",$D64&gt;0),J$8+I64,IF($D64&gt;0,H$7+I64,0))</f>
        <v>0</v>
      </c>
      <c r="K64" s="58">
        <f t="shared" si="2"/>
        <v>0</v>
      </c>
      <c r="L64" s="54">
        <f>IF(AND('(2) Family Pension'!$J$5="Yes",M$8&gt;0),ROUND(M$8*K64*0.0023,0),IF(K$6&gt;0,ROUND(K$6*K64*0.0023,0),0))</f>
        <v>0</v>
      </c>
      <c r="M64" s="62">
        <f>IF(AND('(2) Family Pension'!$J$5="Yes",$D64&gt;0),M$8+L64,IF($D64&gt;0,K$7+L64,0))</f>
        <v>0</v>
      </c>
      <c r="N64" s="58">
        <f t="shared" si="3"/>
        <v>0</v>
      </c>
      <c r="O64" s="54">
        <f>IF(AND('(2) Family Pension'!$J$5="Yes",P$8&gt;0),ROUND(P$8*N64*0.0018,0),IF(N$6&gt;0,ROUND(N$6*N64*0.0018,0),0))</f>
        <v>0</v>
      </c>
      <c r="P64" s="62">
        <f>IF(AND('(2) Family Pension'!$J$5="Yes",$D64&gt;0),P$8+O64,IF($D64&gt;0,N$7+O64,0))</f>
        <v>0</v>
      </c>
      <c r="Q64" s="58">
        <f t="shared" si="4"/>
        <v>0</v>
      </c>
      <c r="R64" s="54">
        <f>IF(AND('(2) Family Pension'!$J$5="Yes",S$8&gt;0),ROUND(S$8*Q64*0.0015,0),IF(Q$6&gt;0,ROUND(Q$6*Q64*0.0015,0),0))</f>
        <v>0</v>
      </c>
      <c r="S64" s="62">
        <f>IF(AND('(2) Family Pension'!$J$5="Yes",$D64&gt;0),S$8+R64,IF($D64&gt;0,Q$7+R64,0))</f>
        <v>0</v>
      </c>
      <c r="T64" s="58">
        <f t="shared" si="5"/>
        <v>0</v>
      </c>
      <c r="U64" s="54">
        <f>IF(AND('(2) Family Pension'!$J$5="Yes",V$8&gt;0),ROUND(V$8*T64*0.001,0),IF(T$6&gt;0,ROUND(T$6*T64*0.001,0),0))</f>
        <v>0</v>
      </c>
      <c r="V64" s="62">
        <f>IF(AND('(2) Family Pension'!$J$5="Yes",$D64&gt;0),V$8+U64,IF($D64&gt;0,T$7+U64,0))</f>
        <v>0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.75" x14ac:dyDescent="0.25">
      <c r="A65" s="42">
        <v>55</v>
      </c>
      <c r="B65" s="52">
        <v>2020</v>
      </c>
      <c r="C65" s="44" t="s">
        <v>41</v>
      </c>
      <c r="D65" s="51">
        <v>7540</v>
      </c>
      <c r="E65" s="53">
        <f t="shared" si="0"/>
        <v>0</v>
      </c>
      <c r="F65" s="54">
        <f>IF(AND('(2) Family Pension'!$J$5="Yes",G$8&gt;0),ROUND(G$8*E65*0.0067,0),IF(E$6&gt;0,ROUND(E$6*E65*0.0067,0),0))</f>
        <v>0</v>
      </c>
      <c r="G65" s="62">
        <f>IF(AND('(2) Family Pension'!$J$5="Yes",$D65&gt;0),G$8+F65,IF($D65&gt;0,E$7+F65,0))</f>
        <v>0</v>
      </c>
      <c r="H65" s="58">
        <f t="shared" si="1"/>
        <v>0</v>
      </c>
      <c r="I65" s="54">
        <f>IF(AND('(2) Family Pension'!$J$5="Yes",J$8&gt;0),ROUND(J$8*H65*0.0035,0),IF(H$6&gt;0,ROUND(H$6*H65*0.0035,0),0))</f>
        <v>0</v>
      </c>
      <c r="J65" s="62">
        <f>IF(AND('(2) Family Pension'!$J$5="Yes",$D65&gt;0),J$8+I65,IF($D65&gt;0,H$7+I65,0))</f>
        <v>0</v>
      </c>
      <c r="K65" s="58">
        <f t="shared" si="2"/>
        <v>0</v>
      </c>
      <c r="L65" s="54">
        <f>IF(AND('(2) Family Pension'!$J$5="Yes",M$8&gt;0),ROUND(M$8*K65*0.0023,0),IF(K$6&gt;0,ROUND(K$6*K65*0.0023,0),0))</f>
        <v>0</v>
      </c>
      <c r="M65" s="62">
        <f>IF(AND('(2) Family Pension'!$J$5="Yes",$D65&gt;0),M$8+L65,IF($D65&gt;0,K$7+L65,0))</f>
        <v>0</v>
      </c>
      <c r="N65" s="58">
        <f t="shared" si="3"/>
        <v>0</v>
      </c>
      <c r="O65" s="54">
        <f>IF(AND('(2) Family Pension'!$J$5="Yes",P$8&gt;0),ROUND(P$8*N65*0.0018,0),IF(N$6&gt;0,ROUND(N$6*N65*0.0018,0),0))</f>
        <v>0</v>
      </c>
      <c r="P65" s="62">
        <f>IF(AND('(2) Family Pension'!$J$5="Yes",$D65&gt;0),P$8+O65,IF($D65&gt;0,N$7+O65,0))</f>
        <v>0</v>
      </c>
      <c r="Q65" s="58">
        <f t="shared" si="4"/>
        <v>0</v>
      </c>
      <c r="R65" s="54">
        <f>IF(AND('(2) Family Pension'!$J$5="Yes",S$8&gt;0),ROUND(S$8*Q65*0.0015,0),IF(Q$6&gt;0,ROUND(Q$6*Q65*0.0015,0),0))</f>
        <v>0</v>
      </c>
      <c r="S65" s="62">
        <f>IF(AND('(2) Family Pension'!$J$5="Yes",$D65&gt;0),S$8+R65,IF($D65&gt;0,Q$7+R65,0))</f>
        <v>0</v>
      </c>
      <c r="T65" s="58">
        <f t="shared" si="5"/>
        <v>0</v>
      </c>
      <c r="U65" s="54">
        <f>IF(AND('(2) Family Pension'!$J$5="Yes",V$8&gt;0),ROUND(V$8*T65*0.001,0),IF(T$6&gt;0,ROUND(T$6*T65*0.001,0),0))</f>
        <v>0</v>
      </c>
      <c r="V65" s="62">
        <f>IF(AND('(2) Family Pension'!$J$5="Yes",$D65&gt;0),V$8+U65,IF($D65&gt;0,T$7+U65,0))</f>
        <v>0</v>
      </c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x14ac:dyDescent="0.25">
      <c r="A66" s="42">
        <v>56</v>
      </c>
      <c r="B66" s="43">
        <v>2021</v>
      </c>
      <c r="C66" s="44" t="s">
        <v>40</v>
      </c>
      <c r="D66" s="45">
        <v>7849</v>
      </c>
      <c r="E66" s="53">
        <f t="shared" si="0"/>
        <v>0</v>
      </c>
      <c r="F66" s="54">
        <f>IF(AND('(2) Family Pension'!$J$5="Yes",G$8&gt;0),ROUND(G$8*E66*0.0067,0),IF(E$6&gt;0,ROUND(E$6*E66*0.0067,0),0))</f>
        <v>0</v>
      </c>
      <c r="G66" s="62">
        <f>IF(AND('(2) Family Pension'!$J$5="Yes",$D66&gt;0),G$8+F66,IF($D66&gt;0,E$7+F66,0))</f>
        <v>0</v>
      </c>
      <c r="H66" s="58">
        <f t="shared" si="1"/>
        <v>0</v>
      </c>
      <c r="I66" s="54">
        <f>IF(AND('(2) Family Pension'!$J$5="Yes",J$8&gt;0),ROUND(J$8*H66*0.0035,0),IF(H$6&gt;0,ROUND(H$6*H66*0.0035,0),0))</f>
        <v>0</v>
      </c>
      <c r="J66" s="62">
        <f>IF(AND('(2) Family Pension'!$J$5="Yes",$D66&gt;0),J$8+I66,IF($D66&gt;0,H$7+I66,0))</f>
        <v>0</v>
      </c>
      <c r="K66" s="58">
        <f t="shared" si="2"/>
        <v>0</v>
      </c>
      <c r="L66" s="54">
        <f>IF(AND('(2) Family Pension'!$J$5="Yes",M$8&gt;0),ROUND(M$8*K66*0.0023,0),IF(K$6&gt;0,ROUND(K$6*K66*0.0023,0),0))</f>
        <v>0</v>
      </c>
      <c r="M66" s="62">
        <f>IF(AND('(2) Family Pension'!$J$5="Yes",$D66&gt;0),M$8+L66,IF($D66&gt;0,K$7+L66,0))</f>
        <v>0</v>
      </c>
      <c r="N66" s="58">
        <f t="shared" si="3"/>
        <v>0</v>
      </c>
      <c r="O66" s="54">
        <f>IF(AND('(2) Family Pension'!$J$5="Yes",P$8&gt;0),ROUND(P$8*N66*0.0018,0),IF(N$6&gt;0,ROUND(N$6*N66*0.0018,0),0))</f>
        <v>0</v>
      </c>
      <c r="P66" s="62">
        <f>IF(AND('(2) Family Pension'!$J$5="Yes",$D66&gt;0),P$8+O66,IF($D66&gt;0,N$7+O66,0))</f>
        <v>0</v>
      </c>
      <c r="Q66" s="58">
        <f t="shared" si="4"/>
        <v>0</v>
      </c>
      <c r="R66" s="54">
        <f>IF(AND('(2) Family Pension'!$J$5="Yes",S$8&gt;0),ROUND(S$8*Q66*0.0015,0),IF(Q$6&gt;0,ROUND(Q$6*Q66*0.0015,0),0))</f>
        <v>0</v>
      </c>
      <c r="S66" s="62">
        <f>IF(AND('(2) Family Pension'!$J$5="Yes",$D66&gt;0),S$8+R66,IF($D66&gt;0,Q$7+R66,0))</f>
        <v>0</v>
      </c>
      <c r="T66" s="58">
        <f t="shared" si="5"/>
        <v>0</v>
      </c>
      <c r="U66" s="54">
        <f>IF(AND('(2) Family Pension'!$J$5="Yes",V$8&gt;0),ROUND(V$8*T66*0.001,0),IF(T$6&gt;0,ROUND(T$6*T66*0.001,0),0))</f>
        <v>0</v>
      </c>
      <c r="V66" s="62">
        <f>IF(AND('(2) Family Pension'!$J$5="Yes",$D66&gt;0),V$8+U66,IF($D66&gt;0,T$7+U66,0))</f>
        <v>0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x14ac:dyDescent="0.25">
      <c r="A67" s="42">
        <v>57</v>
      </c>
      <c r="B67" s="43">
        <v>2021</v>
      </c>
      <c r="C67" s="44" t="s">
        <v>41</v>
      </c>
      <c r="D67" s="159">
        <v>7941</v>
      </c>
      <c r="E67" s="53">
        <f t="shared" si="0"/>
        <v>0</v>
      </c>
      <c r="F67" s="54">
        <f>IF(AND('(2) Family Pension'!$J$5="Yes",G$8&gt;0),ROUND(G$8*E67*0.0067,0),IF(E$6&gt;0,ROUND(E$6*E67*0.0067,0),0))</f>
        <v>0</v>
      </c>
      <c r="G67" s="62">
        <f>IF(AND('(2) Family Pension'!$J$5="Yes",$D67&gt;0),G$8+F67,IF($D67&gt;0,E$7+F67,0))</f>
        <v>0</v>
      </c>
      <c r="H67" s="58">
        <f t="shared" si="1"/>
        <v>0</v>
      </c>
      <c r="I67" s="54">
        <f>IF(AND('(2) Family Pension'!$J$5="Yes",J$8&gt;0),ROUND(J$8*H67*0.0035,0),IF(H$6&gt;0,ROUND(H$6*H67*0.0035,0),0))</f>
        <v>0</v>
      </c>
      <c r="J67" s="62">
        <f>IF(AND('(2) Family Pension'!$J$5="Yes",$D67&gt;0),J$8+I67,IF($D67&gt;0,H$7+I67,0))</f>
        <v>0</v>
      </c>
      <c r="K67" s="58">
        <f t="shared" si="2"/>
        <v>0</v>
      </c>
      <c r="L67" s="54">
        <f>IF(AND('(2) Family Pension'!$J$5="Yes",M$8&gt;0),ROUND(M$8*K67*0.0023,0),IF(K$6&gt;0,ROUND(K$6*K67*0.0023,0),0))</f>
        <v>0</v>
      </c>
      <c r="M67" s="62">
        <f>IF(AND('(2) Family Pension'!$J$5="Yes",$D67&gt;0),M$8+L67,IF($D67&gt;0,K$7+L67,0))</f>
        <v>0</v>
      </c>
      <c r="N67" s="58">
        <f t="shared" si="3"/>
        <v>0</v>
      </c>
      <c r="O67" s="54">
        <f>IF(AND('(2) Family Pension'!$J$5="Yes",P$8&gt;0),ROUND(P$8*N67*0.0018,0),IF(N$6&gt;0,ROUND(N$6*N67*0.0018,0),0))</f>
        <v>0</v>
      </c>
      <c r="P67" s="62">
        <f>IF(AND('(2) Family Pension'!$J$5="Yes",$D67&gt;0),P$8+O67,IF($D67&gt;0,N$7+O67,0))</f>
        <v>0</v>
      </c>
      <c r="Q67" s="58">
        <f t="shared" si="4"/>
        <v>0</v>
      </c>
      <c r="R67" s="54">
        <f>IF(AND('(2) Family Pension'!$J$5="Yes",S$8&gt;0),ROUND(S$8*Q67*0.0015,0),IF(Q$6&gt;0,ROUND(Q$6*Q67*0.0015,0),0))</f>
        <v>0</v>
      </c>
      <c r="S67" s="62">
        <f>IF(AND('(2) Family Pension'!$J$5="Yes",$D67&gt;0),S$8+R67,IF($D67&gt;0,Q$7+R67,0))</f>
        <v>0</v>
      </c>
      <c r="T67" s="58">
        <f t="shared" si="5"/>
        <v>0</v>
      </c>
      <c r="U67" s="54">
        <f>IF(AND('(2) Family Pension'!$J$5="Yes",V$8&gt;0),ROUND(V$8*T67*0.001,0),IF(T$6&gt;0,ROUND(T$6*T67*0.001,0),0))</f>
        <v>0</v>
      </c>
      <c r="V67" s="62">
        <f>IF(AND('(2) Family Pension'!$J$5="Yes",$D67&gt;0),V$8+U67,IF($D67&gt;0,T$7+U67,0))</f>
        <v>0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.75" x14ac:dyDescent="0.25">
      <c r="A68" s="42">
        <v>58</v>
      </c>
      <c r="B68" s="43">
        <v>2022</v>
      </c>
      <c r="C68" s="44" t="s">
        <v>40</v>
      </c>
      <c r="D68" s="159">
        <v>8239</v>
      </c>
      <c r="E68" s="53">
        <f t="shared" si="0"/>
        <v>0</v>
      </c>
      <c r="F68" s="54">
        <f>IF(AND('(2) Family Pension'!$J$5="Yes",G$8&gt;0),ROUND(G$8*E68*0.0067,0),IF(E$6&gt;0,ROUND(E$6*E68*0.0067,0),0))</f>
        <v>0</v>
      </c>
      <c r="G68" s="62">
        <f>IF(AND('(2) Family Pension'!$J$5="Yes",$D68&gt;0),G$8+F68,IF($D68&gt;0,E$7+F68,0))</f>
        <v>0</v>
      </c>
      <c r="H68" s="58">
        <f t="shared" si="1"/>
        <v>0</v>
      </c>
      <c r="I68" s="54">
        <f>IF(AND('(2) Family Pension'!$J$5="Yes",J$8&gt;0),ROUND(J$8*H68*0.0035,0),IF(H$6&gt;0,ROUND(H$6*H68*0.0035,0),0))</f>
        <v>0</v>
      </c>
      <c r="J68" s="62">
        <f>IF(AND('(2) Family Pension'!$J$5="Yes",$D68&gt;0),J$8+I68,IF($D68&gt;0,H$7+I68,0))</f>
        <v>0</v>
      </c>
      <c r="K68" s="58">
        <f t="shared" si="2"/>
        <v>0</v>
      </c>
      <c r="L68" s="54">
        <f>IF(AND('(2) Family Pension'!$J$5="Yes",M$8&gt;0),ROUND(M$8*K68*0.0023,0),IF(K$6&gt;0,ROUND(K$6*K68*0.0023,0),0))</f>
        <v>0</v>
      </c>
      <c r="M68" s="62">
        <f>IF(AND('(2) Family Pension'!$J$5="Yes",$D68&gt;0),M$8+L68,IF($D68&gt;0,K$7+L68,0))</f>
        <v>0</v>
      </c>
      <c r="N68" s="58">
        <f t="shared" si="3"/>
        <v>0</v>
      </c>
      <c r="O68" s="54">
        <f>IF(AND('(2) Family Pension'!$J$5="Yes",P$8&gt;0),ROUND(P$8*N68*0.0018,0),IF(N$6&gt;0,ROUND(N$6*N68*0.0018,0),0))</f>
        <v>0</v>
      </c>
      <c r="P68" s="62">
        <f>IF(AND('(2) Family Pension'!$J$5="Yes",$D68&gt;0),P$8+O68,IF($D68&gt;0,N$7+O68,0))</f>
        <v>0</v>
      </c>
      <c r="Q68" s="58">
        <f t="shared" si="4"/>
        <v>0</v>
      </c>
      <c r="R68" s="54">
        <f>IF(AND('(2) Family Pension'!$J$5="Yes",S$8&gt;0),ROUND(S$8*Q68*0.0015,0),IF(Q$6&gt;0,ROUND(Q$6*Q68*0.0015,0),0))</f>
        <v>0</v>
      </c>
      <c r="S68" s="62">
        <f>IF(AND('(2) Family Pension'!$J$5="Yes",$D68&gt;0),S$8+R68,IF($D68&gt;0,Q$7+R68,0))</f>
        <v>0</v>
      </c>
      <c r="T68" s="58">
        <f t="shared" si="5"/>
        <v>0</v>
      </c>
      <c r="U68" s="54">
        <f>IF(AND('(2) Family Pension'!$J$5="Yes",V$8&gt;0),ROUND(V$8*T68*0.001,0),IF(T$6&gt;0,ROUND(T$6*T68*0.001,0),0))</f>
        <v>0</v>
      </c>
      <c r="V68" s="62">
        <f>IF(AND('(2) Family Pension'!$J$5="Yes",$D68&gt;0),V$8+U68,IF($D68&gt;0,T$7+U68,0))</f>
        <v>0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.75" x14ac:dyDescent="0.25">
      <c r="A69" s="49">
        <v>59</v>
      </c>
      <c r="B69" s="50">
        <v>2022</v>
      </c>
      <c r="C69" s="44" t="s">
        <v>41</v>
      </c>
      <c r="D69" s="160"/>
      <c r="E69" s="53">
        <f t="shared" si="0"/>
        <v>0</v>
      </c>
      <c r="F69" s="55">
        <f>IF(AND('(2) Family Pension'!$J$5="Yes",G$8&gt;0),ROUND(G$8*E69*0.0067,0),IF(E$6&gt;0,ROUND(E$6*E69*0.0067,0),0))</f>
        <v>0</v>
      </c>
      <c r="G69" s="62">
        <f>IF(AND('(2) Family Pension'!$J$5="Yes",$D69&gt;0),G$8+F69,IF($D69&gt;0,E$7+F69,0))</f>
        <v>0</v>
      </c>
      <c r="H69" s="58">
        <f t="shared" si="1"/>
        <v>0</v>
      </c>
      <c r="I69" s="54">
        <f>IF(AND('(2) Family Pension'!$J$5="Yes",J$8&gt;0),ROUND(J$8*H69*0.0035,0),IF(H$6&gt;0,ROUND(H$6*H69*0.0035,0),0))</f>
        <v>0</v>
      </c>
      <c r="J69" s="62">
        <f>IF(AND('(2) Family Pension'!$J$5="Yes",$D69&gt;0),J$8+I69,IF($D69&gt;0,H$7+I69,0))</f>
        <v>0</v>
      </c>
      <c r="K69" s="58">
        <f t="shared" si="2"/>
        <v>0</v>
      </c>
      <c r="L69" s="54">
        <f>IF(AND('(2) Family Pension'!$J$5="Yes",M$8&gt;0),ROUND(M$8*K69*0.0023,0),IF(K$6&gt;0,ROUND(K$6*K69*0.0023,0),0))</f>
        <v>0</v>
      </c>
      <c r="M69" s="62">
        <f>IF(AND('(2) Family Pension'!$J$5="Yes",$D69&gt;0),M$8+L69,IF($D69&gt;0,K$7+L69,0))</f>
        <v>0</v>
      </c>
      <c r="N69" s="58">
        <f t="shared" si="3"/>
        <v>0</v>
      </c>
      <c r="O69" s="54">
        <f>IF(AND('(2) Family Pension'!$J$5="Yes",P$8&gt;0),ROUND(P$8*N69*0.0018,0),IF(N$6&gt;0,ROUND(N$6*N69*0.0018,0),0))</f>
        <v>0</v>
      </c>
      <c r="P69" s="62">
        <f>IF(AND('(2) Family Pension'!$J$5="Yes",$D69&gt;0),P$8+O69,IF($D69&gt;0,N$7+O69,0))</f>
        <v>0</v>
      </c>
      <c r="Q69" s="58">
        <f t="shared" si="4"/>
        <v>0</v>
      </c>
      <c r="R69" s="54">
        <f>IF(AND('(2) Family Pension'!$J$5="Yes",S$8&gt;0),ROUND(S$8*Q69*0.0015,0),IF(Q$6&gt;0,ROUND(Q$6*Q69*0.0015,0),0))</f>
        <v>0</v>
      </c>
      <c r="S69" s="62">
        <f>IF(AND('(2) Family Pension'!$J$5="Yes",$D69&gt;0),S$8+R69,IF($D69&gt;0,Q$7+R69,0))</f>
        <v>0</v>
      </c>
      <c r="T69" s="58">
        <f t="shared" si="5"/>
        <v>0</v>
      </c>
      <c r="U69" s="54">
        <f>IF(AND('(2) Family Pension'!$J$5="Yes",V$8&gt;0),ROUND(V$8*T69*0.001,0),IF(T$6&gt;0,ROUND(T$6*T69*0.001,0),0))</f>
        <v>0</v>
      </c>
      <c r="V69" s="62">
        <f>IF(AND('(2) Family Pension'!$J$5="Yes",$D69&gt;0),V$8+U69,IF($D69&gt;0,T$7+U69,0))</f>
        <v>0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.75" x14ac:dyDescent="0.25">
      <c r="A70" s="42">
        <v>60</v>
      </c>
      <c r="B70" s="43">
        <v>2023</v>
      </c>
      <c r="C70" s="44" t="s">
        <v>40</v>
      </c>
      <c r="D70" s="159"/>
      <c r="E70" s="53">
        <f t="shared" si="0"/>
        <v>0</v>
      </c>
      <c r="F70" s="54">
        <f>IF(AND('(2) Family Pension'!$J$5="Yes",G$8&gt;0),ROUND(G$8*E70*0.0067,0),IF(E$6&gt;0,ROUND(E$6*E70*0.0067,0),0))</f>
        <v>0</v>
      </c>
      <c r="G70" s="62">
        <f>IF(AND('(2) Family Pension'!$J$5="Yes",$D70&gt;0),G$8+F70,IF($D70&gt;0,E$7+F70,0))</f>
        <v>0</v>
      </c>
      <c r="H70" s="58">
        <f t="shared" si="1"/>
        <v>0</v>
      </c>
      <c r="I70" s="54">
        <f>IF(AND('(2) Family Pension'!$J$5="Yes",J$8&gt;0),ROUND(J$8*H70*0.0035,0),IF(H$6&gt;0,ROUND(H$6*H70*0.0035,0),0))</f>
        <v>0</v>
      </c>
      <c r="J70" s="62">
        <f>IF(AND('(2) Family Pension'!$J$5="Yes",$D70&gt;0),J$8+I70,IF($D70&gt;0,H$7+I70,0))</f>
        <v>0</v>
      </c>
      <c r="K70" s="58">
        <f t="shared" si="2"/>
        <v>0</v>
      </c>
      <c r="L70" s="54">
        <f>IF(AND('(2) Family Pension'!$J$5="Yes",M$8&gt;0),ROUND(M$8*K70*0.0023,0),IF(K$6&gt;0,ROUND(K$6*K70*0.0023,0),0))</f>
        <v>0</v>
      </c>
      <c r="M70" s="62">
        <f>IF(AND('(2) Family Pension'!$J$5="Yes",$D70&gt;0),M$8+L70,IF($D70&gt;0,K$7+L70,0))</f>
        <v>0</v>
      </c>
      <c r="N70" s="58">
        <f t="shared" si="3"/>
        <v>0</v>
      </c>
      <c r="O70" s="54">
        <f>IF(AND('(2) Family Pension'!$J$5="Yes",P$8&gt;0),ROUND(P$8*N70*0.0018,0),IF(N$6&gt;0,ROUND(N$6*N70*0.0018,0),0))</f>
        <v>0</v>
      </c>
      <c r="P70" s="62">
        <f>IF(AND('(2) Family Pension'!$J$5="Yes",$D70&gt;0),P$8+O70,IF($D70&gt;0,N$7+O70,0))</f>
        <v>0</v>
      </c>
      <c r="Q70" s="58">
        <f t="shared" si="4"/>
        <v>0</v>
      </c>
      <c r="R70" s="54">
        <f>IF(AND('(2) Family Pension'!$J$5="Yes",S$8&gt;0),ROUND(S$8*Q70*0.0015,0),IF(Q$6&gt;0,ROUND(Q$6*Q70*0.0015,0),0))</f>
        <v>0</v>
      </c>
      <c r="S70" s="62">
        <f>IF(AND('(2) Family Pension'!$J$5="Yes",$D70&gt;0),S$8+R70,IF($D70&gt;0,Q$7+R70,0))</f>
        <v>0</v>
      </c>
      <c r="T70" s="58">
        <f t="shared" si="5"/>
        <v>0</v>
      </c>
      <c r="U70" s="54">
        <f>IF(AND('(2) Family Pension'!$J$5="Yes",V$8&gt;0),ROUND(V$8*T70*0.001,0),IF(T$6&gt;0,ROUND(T$6*T70*0.001,0),0))</f>
        <v>0</v>
      </c>
      <c r="V70" s="62">
        <f>IF(AND('(2) Family Pension'!$J$5="Yes",$D70&gt;0),V$8+U70,IF($D70&gt;0,T$7+U70,0))</f>
        <v>0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.75" x14ac:dyDescent="0.25">
      <c r="A71" s="42">
        <v>61</v>
      </c>
      <c r="B71" s="43">
        <v>2023</v>
      </c>
      <c r="C71" s="44" t="s">
        <v>41</v>
      </c>
      <c r="D71" s="159"/>
      <c r="E71" s="53">
        <f t="shared" si="0"/>
        <v>0</v>
      </c>
      <c r="F71" s="54">
        <f>IF(AND('(2) Family Pension'!$J$5="Yes",G$8&gt;0),ROUND(G$8*E71*0.0067,0),IF(E$6&gt;0,ROUND(E$6*E71*0.0067,0),0))</f>
        <v>0</v>
      </c>
      <c r="G71" s="62">
        <f>IF(AND('(2) Family Pension'!$J$5="Yes",$D71&gt;0),G$8+F71,IF($D71&gt;0,E$7+F71,0))</f>
        <v>0</v>
      </c>
      <c r="H71" s="58">
        <f t="shared" si="1"/>
        <v>0</v>
      </c>
      <c r="I71" s="54">
        <f>IF(AND('(2) Family Pension'!$J$5="Yes",J$8&gt;0),ROUND(J$8*H71*0.0035,0),IF(H$6&gt;0,ROUND(H$6*H71*0.0035,0),0))</f>
        <v>0</v>
      </c>
      <c r="J71" s="62">
        <f>IF(AND('(2) Family Pension'!$J$5="Yes",$D71&gt;0),J$8+I71,IF($D71&gt;0,H$7+I71,0))</f>
        <v>0</v>
      </c>
      <c r="K71" s="58">
        <f t="shared" si="2"/>
        <v>0</v>
      </c>
      <c r="L71" s="54">
        <f>IF(AND('(2) Family Pension'!$J$5="Yes",M$8&gt;0),ROUND(M$8*K71*0.0023,0),IF(K$6&gt;0,ROUND(K$6*K71*0.0023,0),0))</f>
        <v>0</v>
      </c>
      <c r="M71" s="62">
        <f>IF(AND('(2) Family Pension'!$J$5="Yes",$D71&gt;0),M$8+L71,IF($D71&gt;0,K$7+L71,0))</f>
        <v>0</v>
      </c>
      <c r="N71" s="58">
        <f t="shared" si="3"/>
        <v>0</v>
      </c>
      <c r="O71" s="54">
        <f>IF(AND('(2) Family Pension'!$J$5="Yes",P$8&gt;0),ROUND(P$8*N71*0.0018,0),IF(N$6&gt;0,ROUND(N$6*N71*0.0018,0),0))</f>
        <v>0</v>
      </c>
      <c r="P71" s="62">
        <f>IF(AND('(2) Family Pension'!$J$5="Yes",$D71&gt;0),P$8+O71,IF($D71&gt;0,N$7+O71,0))</f>
        <v>0</v>
      </c>
      <c r="Q71" s="58">
        <f t="shared" si="4"/>
        <v>0</v>
      </c>
      <c r="R71" s="54">
        <f>IF(AND('(2) Family Pension'!$J$5="Yes",S$8&gt;0),ROUND(S$8*Q71*0.0015,0),IF(Q$6&gt;0,ROUND(Q$6*Q71*0.0015,0),0))</f>
        <v>0</v>
      </c>
      <c r="S71" s="62">
        <f>IF(AND('(2) Family Pension'!$J$5="Yes",$D71&gt;0),S$8+R71,IF($D71&gt;0,Q$7+R71,0))</f>
        <v>0</v>
      </c>
      <c r="T71" s="58">
        <f t="shared" si="5"/>
        <v>0</v>
      </c>
      <c r="U71" s="54">
        <f>IF(AND('(2) Family Pension'!$J$5="Yes",V$8&gt;0),ROUND(V$8*T71*0.001,0),IF(T$6&gt;0,ROUND(T$6*T71*0.001,0),0))</f>
        <v>0</v>
      </c>
      <c r="V71" s="62">
        <f>IF(AND('(2) Family Pension'!$J$5="Yes",$D71&gt;0),V$8+U71,IF($D71&gt;0,T$7+U71,0))</f>
        <v>0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.75" x14ac:dyDescent="0.25">
      <c r="A72" s="42">
        <v>62</v>
      </c>
      <c r="B72" s="43">
        <v>2024</v>
      </c>
      <c r="C72" s="44" t="s">
        <v>40</v>
      </c>
      <c r="D72" s="159"/>
      <c r="E72" s="53">
        <f t="shared" si="0"/>
        <v>0</v>
      </c>
      <c r="F72" s="54">
        <f>IF(AND('(2) Family Pension'!$J$5="Yes",G$8&gt;0),ROUND(G$8*E72*0.0067,0),IF(E$6&gt;0,ROUND(E$6*E72*0.0067,0),0))</f>
        <v>0</v>
      </c>
      <c r="G72" s="62">
        <f>IF(AND('(2) Family Pension'!$J$5="Yes",$D72&gt;0),G$8+F72,IF($D72&gt;0,E$7+F72,0))</f>
        <v>0</v>
      </c>
      <c r="H72" s="58">
        <f t="shared" si="1"/>
        <v>0</v>
      </c>
      <c r="I72" s="54">
        <f>IF(AND('(2) Family Pension'!$J$5="Yes",J$8&gt;0),ROUND(J$8*H72*0.0035,0),IF(H$6&gt;0,ROUND(H$6*H72*0.0035,0),0))</f>
        <v>0</v>
      </c>
      <c r="J72" s="62">
        <f>IF(AND('(2) Family Pension'!$J$5="Yes",$D72&gt;0),J$8+I72,IF($D72&gt;0,H$7+I72,0))</f>
        <v>0</v>
      </c>
      <c r="K72" s="58">
        <f t="shared" si="2"/>
        <v>0</v>
      </c>
      <c r="L72" s="54">
        <f>IF(AND('(2) Family Pension'!$J$5="Yes",M$8&gt;0),ROUND(M$8*K72*0.0023,0),IF(K$6&gt;0,ROUND(K$6*K72*0.0023,0),0))</f>
        <v>0</v>
      </c>
      <c r="M72" s="62">
        <f>IF(AND('(2) Family Pension'!$J$5="Yes",$D72&gt;0),M$8+L72,IF($D72&gt;0,K$7+L72,0))</f>
        <v>0</v>
      </c>
      <c r="N72" s="58">
        <f t="shared" si="3"/>
        <v>0</v>
      </c>
      <c r="O72" s="54">
        <f>IF(AND('(2) Family Pension'!$J$5="Yes",P$8&gt;0),ROUND(P$8*N72*0.0018,0),IF(N$6&gt;0,ROUND(N$6*N72*0.0018,0),0))</f>
        <v>0</v>
      </c>
      <c r="P72" s="62">
        <f>IF(AND('(2) Family Pension'!$J$5="Yes",$D72&gt;0),P$8+O72,IF($D72&gt;0,N$7+O72,0))</f>
        <v>0</v>
      </c>
      <c r="Q72" s="58">
        <f t="shared" si="4"/>
        <v>0</v>
      </c>
      <c r="R72" s="54">
        <f>IF(AND('(2) Family Pension'!$J$5="Yes",S$8&gt;0),ROUND(S$8*Q72*0.0015,0),IF(Q$6&gt;0,ROUND(Q$6*Q72*0.0015,0),0))</f>
        <v>0</v>
      </c>
      <c r="S72" s="62">
        <f>IF(AND('(2) Family Pension'!$J$5="Yes",$D72&gt;0),S$8+R72,IF($D72&gt;0,Q$7+R72,0))</f>
        <v>0</v>
      </c>
      <c r="T72" s="58">
        <f t="shared" si="5"/>
        <v>0</v>
      </c>
      <c r="U72" s="54">
        <f>IF(AND('(2) Family Pension'!$J$5="Yes",V$8&gt;0),ROUND(V$8*T72*0.001,0),IF(T$6&gt;0,ROUND(T$6*T72*0.001,0),0))</f>
        <v>0</v>
      </c>
      <c r="V72" s="62">
        <f>IF(AND('(2) Family Pension'!$J$5="Yes",$D72&gt;0),V$8+U72,IF($D72&gt;0,T$7+U72,0))</f>
        <v>0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.75" x14ac:dyDescent="0.25">
      <c r="A73" s="42">
        <v>63</v>
      </c>
      <c r="B73" s="43">
        <v>2024</v>
      </c>
      <c r="C73" s="44" t="s">
        <v>41</v>
      </c>
      <c r="D73" s="159"/>
      <c r="E73" s="53">
        <f t="shared" si="0"/>
        <v>0</v>
      </c>
      <c r="F73" s="54">
        <f>IF(AND('(2) Family Pension'!$J$5="Yes",G$8&gt;0),ROUND(G$8*E73*0.0067,0),IF(E$6&gt;0,ROUND(E$6*E73*0.0067,0),0))</f>
        <v>0</v>
      </c>
      <c r="G73" s="62">
        <f>IF(AND('(2) Family Pension'!$J$5="Yes",$D73&gt;0),G$8+F73,IF($D73&gt;0,E$7+F73,0))</f>
        <v>0</v>
      </c>
      <c r="H73" s="58">
        <f t="shared" si="1"/>
        <v>0</v>
      </c>
      <c r="I73" s="54">
        <f>IF(AND('(2) Family Pension'!$J$5="Yes",J$8&gt;0),ROUND(J$8*H73*0.0035,0),IF(H$6&gt;0,ROUND(H$6*H73*0.0035,0),0))</f>
        <v>0</v>
      </c>
      <c r="J73" s="62">
        <f>IF(AND('(2) Family Pension'!$J$5="Yes",$D73&gt;0),J$8+I73,IF($D73&gt;0,H$7+I73,0))</f>
        <v>0</v>
      </c>
      <c r="K73" s="58">
        <f t="shared" si="2"/>
        <v>0</v>
      </c>
      <c r="L73" s="54">
        <f>IF(AND('(2) Family Pension'!$J$5="Yes",M$8&gt;0),ROUND(M$8*K73*0.0023,0),IF(K$6&gt;0,ROUND(K$6*K73*0.0023,0),0))</f>
        <v>0</v>
      </c>
      <c r="M73" s="62">
        <f>IF(AND('(2) Family Pension'!$J$5="Yes",$D73&gt;0),M$8+L73,IF($D73&gt;0,K$7+L73,0))</f>
        <v>0</v>
      </c>
      <c r="N73" s="58">
        <f t="shared" si="3"/>
        <v>0</v>
      </c>
      <c r="O73" s="54">
        <f>IF(AND('(2) Family Pension'!$J$5="Yes",P$8&gt;0),ROUND(P$8*N73*0.0018,0),IF(N$6&gt;0,ROUND(N$6*N73*0.0018,0),0))</f>
        <v>0</v>
      </c>
      <c r="P73" s="62">
        <f>IF(AND('(2) Family Pension'!$J$5="Yes",$D73&gt;0),P$8+O73,IF($D73&gt;0,N$7+O73,0))</f>
        <v>0</v>
      </c>
      <c r="Q73" s="58">
        <f t="shared" si="4"/>
        <v>0</v>
      </c>
      <c r="R73" s="54">
        <f>IF(AND('(2) Family Pension'!$J$5="Yes",S$8&gt;0),ROUND(S$8*Q73*0.0015,0),IF(Q$6&gt;0,ROUND(Q$6*Q73*0.0015,0),0))</f>
        <v>0</v>
      </c>
      <c r="S73" s="62">
        <f>IF(AND('(2) Family Pension'!$J$5="Yes",$D73&gt;0),S$8+R73,IF($D73&gt;0,Q$7+R73,0))</f>
        <v>0</v>
      </c>
      <c r="T73" s="58">
        <f t="shared" si="5"/>
        <v>0</v>
      </c>
      <c r="U73" s="54">
        <f>IF(AND('(2) Family Pension'!$J$5="Yes",V$8&gt;0),ROUND(V$8*T73*0.001,0),IF(T$6&gt;0,ROUND(T$6*T73*0.001,0),0))</f>
        <v>0</v>
      </c>
      <c r="V73" s="62">
        <f>IF(AND('(2) Family Pension'!$J$5="Yes",$D73&gt;0),V$8+U73,IF($D73&gt;0,T$7+U73,0))</f>
        <v>0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.75" x14ac:dyDescent="0.25">
      <c r="A74" s="42">
        <v>64</v>
      </c>
      <c r="B74" s="43">
        <v>2025</v>
      </c>
      <c r="C74" s="44" t="s">
        <v>40</v>
      </c>
      <c r="D74" s="159"/>
      <c r="E74" s="53">
        <f t="shared" si="0"/>
        <v>0</v>
      </c>
      <c r="F74" s="54">
        <f>IF(AND('(2) Family Pension'!$J$5="Yes",G$8&gt;0),ROUND(G$8*E74*0.0067,0),IF(E$6&gt;0,ROUND(E$6*E74*0.0067,0),0))</f>
        <v>0</v>
      </c>
      <c r="G74" s="62">
        <f>IF(AND('(2) Family Pension'!$J$5="Yes",$D74&gt;0),G$8+F74,IF($D74&gt;0,E$7+F74,0))</f>
        <v>0</v>
      </c>
      <c r="H74" s="58">
        <f t="shared" si="1"/>
        <v>0</v>
      </c>
      <c r="I74" s="54">
        <f>IF(AND('(2) Family Pension'!$J$5="Yes",J$8&gt;0),ROUND(J$8*H74*0.0035,0),IF(H$6&gt;0,ROUND(H$6*H74*0.0035,0),0))</f>
        <v>0</v>
      </c>
      <c r="J74" s="62">
        <f>IF(AND('(2) Family Pension'!$J$5="Yes",$D74&gt;0),J$8+I74,IF($D74&gt;0,H$7+I74,0))</f>
        <v>0</v>
      </c>
      <c r="K74" s="58">
        <f t="shared" si="2"/>
        <v>0</v>
      </c>
      <c r="L74" s="54">
        <f>IF(AND('(2) Family Pension'!$J$5="Yes",M$8&gt;0),ROUND(M$8*K74*0.0023,0),IF(K$6&gt;0,ROUND(K$6*K74*0.0023,0),0))</f>
        <v>0</v>
      </c>
      <c r="M74" s="62">
        <f>IF(AND('(2) Family Pension'!$J$5="Yes",$D74&gt;0),M$8+L74,IF($D74&gt;0,K$7+L74,0))</f>
        <v>0</v>
      </c>
      <c r="N74" s="58">
        <f t="shared" si="3"/>
        <v>0</v>
      </c>
      <c r="O74" s="54">
        <f>IF(AND('(2) Family Pension'!$J$5="Yes",P$8&gt;0),ROUND(P$8*N74*0.0018,0),IF(N$6&gt;0,ROUND(N$6*N74*0.0018,0),0))</f>
        <v>0</v>
      </c>
      <c r="P74" s="62">
        <f>IF(AND('(2) Family Pension'!$J$5="Yes",$D74&gt;0),P$8+O74,IF($D74&gt;0,N$7+O74,0))</f>
        <v>0</v>
      </c>
      <c r="Q74" s="58">
        <f t="shared" si="4"/>
        <v>0</v>
      </c>
      <c r="R74" s="54">
        <f>IF(AND('(2) Family Pension'!$J$5="Yes",S$8&gt;0),ROUND(S$8*Q74*0.0015,0),IF(Q$6&gt;0,ROUND(Q$6*Q74*0.0015,0),0))</f>
        <v>0</v>
      </c>
      <c r="S74" s="62">
        <f>IF(AND('(2) Family Pension'!$J$5="Yes",$D74&gt;0),S$8+R74,IF($D74&gt;0,Q$7+R74,0))</f>
        <v>0</v>
      </c>
      <c r="T74" s="58">
        <f t="shared" si="5"/>
        <v>0</v>
      </c>
      <c r="U74" s="54">
        <f>IF(AND('(2) Family Pension'!$J$5="Yes",V$8&gt;0),ROUND(V$8*T74*0.001,0),IF(T$6&gt;0,ROUND(T$6*T74*0.001,0),0))</f>
        <v>0</v>
      </c>
      <c r="V74" s="62">
        <f>IF(AND('(2) Family Pension'!$J$5="Yes",$D74&gt;0),V$8+U74,IF($D74&gt;0,T$7+U74,0))</f>
        <v>0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6.5" thickBot="1" x14ac:dyDescent="0.3">
      <c r="A75" s="46">
        <v>65</v>
      </c>
      <c r="B75" s="47">
        <v>2025</v>
      </c>
      <c r="C75" s="48" t="s">
        <v>41</v>
      </c>
      <c r="D75" s="161"/>
      <c r="E75" s="56">
        <f t="shared" si="0"/>
        <v>0</v>
      </c>
      <c r="F75" s="57">
        <f>IF(AND('(2) Family Pension'!$J$5="Yes",G$8&gt;0),ROUND(G$8*E75*0.0067,0),IF(E$6&gt;0,ROUND(E$6*E75*0.0067,0),0))</f>
        <v>0</v>
      </c>
      <c r="G75" s="63">
        <f>IF(AND('(2) Family Pension'!$J$5="Yes",$D75&gt;0),G$8+F75,IF($D75&gt;0,E$7+F75,0))</f>
        <v>0</v>
      </c>
      <c r="H75" s="59">
        <f t="shared" si="1"/>
        <v>0</v>
      </c>
      <c r="I75" s="57">
        <f>IF(AND('(2) Family Pension'!$J$5="Yes",J$8&gt;0),ROUND(J$8*H75*0.0035,0),IF(H$6&gt;0,ROUND(H$6*H75*0.0035,0),0))</f>
        <v>0</v>
      </c>
      <c r="J75" s="63">
        <f>IF(AND('(2) Family Pension'!$J$5="Yes",$D75&gt;0),J$8+I75,IF($D75&gt;0,H$7+I75,0))</f>
        <v>0</v>
      </c>
      <c r="K75" s="59">
        <f t="shared" si="2"/>
        <v>0</v>
      </c>
      <c r="L75" s="57">
        <f>IF(AND('(2) Family Pension'!$J$5="Yes",M$8&gt;0),ROUND(M$8*K75*0.0023,0),IF(K$6&gt;0,ROUND(K$6*K75*0.0023,0),0))</f>
        <v>0</v>
      </c>
      <c r="M75" s="63">
        <f>IF(AND('(2) Family Pension'!$J$5="Yes",$D75&gt;0),M$8+L75,IF($D75&gt;0,K$7+L75,0))</f>
        <v>0</v>
      </c>
      <c r="N75" s="59">
        <f t="shared" si="3"/>
        <v>0</v>
      </c>
      <c r="O75" s="57">
        <f>IF(AND('(2) Family Pension'!$J$5="Yes",P$8&gt;0),ROUND(P$8*N75*0.0018,0),IF(N$6&gt;0,ROUND(N$6*N75*0.0018,0),0))</f>
        <v>0</v>
      </c>
      <c r="P75" s="63">
        <f>IF(AND('(2) Family Pension'!$J$5="Yes",$D75&gt;0),P$8+O75,IF($D75&gt;0,N$7+O75,0))</f>
        <v>0</v>
      </c>
      <c r="Q75" s="59">
        <f t="shared" si="4"/>
        <v>0</v>
      </c>
      <c r="R75" s="57">
        <f>IF(AND('(2) Family Pension'!$J$5="Yes",S$8&gt;0),ROUND(S$8*Q75*0.0015,0),IF(Q$6&gt;0,ROUND(Q$6*Q75*0.0015,0),0))</f>
        <v>0</v>
      </c>
      <c r="S75" s="63">
        <f>IF(AND('(2) Family Pension'!$J$5="Yes",$D75&gt;0),S$8+R75,IF($D75&gt;0,Q$7+R75,0))</f>
        <v>0</v>
      </c>
      <c r="T75" s="59">
        <f t="shared" si="5"/>
        <v>0</v>
      </c>
      <c r="U75" s="57">
        <f>IF(AND('(2) Family Pension'!$J$5="Yes",V$8&gt;0),ROUND(V$8*T75*0.001,0),IF(T$6&gt;0,ROUND(T$6*T75*0.001,0),0))</f>
        <v>0</v>
      </c>
      <c r="V75" s="63">
        <f>IF(AND('(2) Family Pension'!$J$5="Yes",$D75&gt;0),V$8+U75,IF($D75&gt;0,T$7+U75,0))</f>
        <v>0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</sheetData>
  <sheetProtection password="C7AA" sheet="1" objects="1" scenarios="1"/>
  <mergeCells count="52">
    <mergeCell ref="T5:V5"/>
    <mergeCell ref="Q3:S3"/>
    <mergeCell ref="Q4:S4"/>
    <mergeCell ref="Q5:S5"/>
    <mergeCell ref="H3:J3"/>
    <mergeCell ref="N5:P5"/>
    <mergeCell ref="A1:V1"/>
    <mergeCell ref="A2:J2"/>
    <mergeCell ref="L2:V2"/>
    <mergeCell ref="T3:V3"/>
    <mergeCell ref="T4:V4"/>
    <mergeCell ref="N3:P3"/>
    <mergeCell ref="N4:P4"/>
    <mergeCell ref="K3:M3"/>
    <mergeCell ref="K4:M4"/>
    <mergeCell ref="A3:D3"/>
    <mergeCell ref="A4:D4"/>
    <mergeCell ref="K6:M6"/>
    <mergeCell ref="K7:M7"/>
    <mergeCell ref="N6:P6"/>
    <mergeCell ref="N7:P7"/>
    <mergeCell ref="H5:J5"/>
    <mergeCell ref="A5:D5"/>
    <mergeCell ref="K5:M5"/>
    <mergeCell ref="E3:G3"/>
    <mergeCell ref="E4:G4"/>
    <mergeCell ref="E5:G5"/>
    <mergeCell ref="H4:J4"/>
    <mergeCell ref="A8:D8"/>
    <mergeCell ref="A9:D9"/>
    <mergeCell ref="E6:G6"/>
    <mergeCell ref="E7:G7"/>
    <mergeCell ref="H6:J6"/>
    <mergeCell ref="H7:J7"/>
    <mergeCell ref="A6:D6"/>
    <mergeCell ref="F8:F9"/>
    <mergeCell ref="I8:I9"/>
    <mergeCell ref="A7:D7"/>
    <mergeCell ref="L8:L9"/>
    <mergeCell ref="O8:O9"/>
    <mergeCell ref="R8:R9"/>
    <mergeCell ref="G8:G9"/>
    <mergeCell ref="J8:J9"/>
    <mergeCell ref="M8:M9"/>
    <mergeCell ref="P8:P9"/>
    <mergeCell ref="V8:V9"/>
    <mergeCell ref="Q6:S6"/>
    <mergeCell ref="Q7:S7"/>
    <mergeCell ref="T6:V6"/>
    <mergeCell ref="T7:V7"/>
    <mergeCell ref="U8:U9"/>
    <mergeCell ref="S8:S9"/>
  </mergeCells>
  <pageMargins left="0.70866141732283472" right="0.70866141732283472" top="0.74803149606299213" bottom="0.74803149606299213" header="0.31496062992125984" footer="0.31496062992125984"/>
  <pageSetup paperSize="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7"/>
  <sheetViews>
    <sheetView showGridLines="0" showZero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G13" sqref="G13"/>
    </sheetView>
  </sheetViews>
  <sheetFormatPr defaultRowHeight="15" x14ac:dyDescent="0.25"/>
  <cols>
    <col min="1" max="1" width="9.140625" style="4"/>
    <col min="2" max="2" width="17.85546875" style="4" customWidth="1"/>
    <col min="3" max="7" width="10.7109375" style="4" customWidth="1"/>
    <col min="8" max="8" width="0" style="4" hidden="1" customWidth="1"/>
    <col min="9" max="11" width="10.7109375" style="4" customWidth="1"/>
    <col min="12" max="15" width="9.140625" style="4"/>
    <col min="16" max="16" width="9.85546875" style="4" bestFit="1" customWidth="1"/>
    <col min="17" max="16384" width="9.140625" style="4"/>
  </cols>
  <sheetData>
    <row r="1" spans="1:52" ht="20.25" x14ac:dyDescent="0.3">
      <c r="A1" s="321" t="str">
        <f>IF('(2) Family Pension'!$J$5="Yes","FAMILY PENSION RECEIVED ACCOUNT","PENSION RECEIVED ACCOUNT")</f>
        <v>PENSION RECEIVED ACCOUNT</v>
      </c>
      <c r="B1" s="322"/>
      <c r="C1" s="322"/>
      <c r="D1" s="322"/>
      <c r="E1" s="322"/>
      <c r="F1" s="322"/>
      <c r="G1" s="322"/>
      <c r="H1" s="322"/>
      <c r="I1" s="322"/>
      <c r="J1" s="323" t="s">
        <v>194</v>
      </c>
      <c r="K1" s="323"/>
      <c r="L1" s="323"/>
      <c r="M1" s="323"/>
      <c r="N1" s="323"/>
      <c r="O1" s="323"/>
      <c r="P1" s="324"/>
      <c r="Q1" s="148"/>
      <c r="R1" s="148"/>
      <c r="S1" s="148"/>
      <c r="T1" s="148"/>
      <c r="U1" s="148"/>
      <c r="V1" s="148"/>
      <c r="W1" s="149"/>
      <c r="X1" s="149"/>
      <c r="Y1" s="149"/>
      <c r="Z1" s="149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1" thickBot="1" x14ac:dyDescent="0.35">
      <c r="A2" s="326" t="s">
        <v>58</v>
      </c>
      <c r="B2" s="327"/>
      <c r="C2" s="327"/>
      <c r="D2" s="327"/>
      <c r="E2" s="327"/>
      <c r="F2" s="327"/>
      <c r="G2" s="327"/>
      <c r="H2" s="327"/>
      <c r="I2" s="327"/>
      <c r="J2" s="150">
        <f>IF('(2) Family Pension'!$J$5="Yes",'(2) Family Pension'!$E$5,'(1) Pension'!$E$5)</f>
        <v>0</v>
      </c>
      <c r="K2" s="151"/>
      <c r="L2" s="151"/>
      <c r="M2" s="151"/>
      <c r="N2" s="151"/>
      <c r="O2" s="151"/>
      <c r="P2" s="15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5.75" thickBot="1" x14ac:dyDescent="0.3">
      <c r="A4" s="5" t="s">
        <v>1</v>
      </c>
      <c r="B4" s="6" t="s">
        <v>63</v>
      </c>
      <c r="C4" s="6" t="s">
        <v>15</v>
      </c>
      <c r="D4" s="6" t="s">
        <v>17</v>
      </c>
      <c r="E4" s="6" t="s">
        <v>18</v>
      </c>
      <c r="F4" s="6" t="s">
        <v>16</v>
      </c>
      <c r="G4" s="7" t="s">
        <v>19</v>
      </c>
      <c r="H4" s="8" t="s">
        <v>20</v>
      </c>
      <c r="I4" s="2"/>
      <c r="J4" s="9" t="s">
        <v>2</v>
      </c>
      <c r="K4" s="9" t="s">
        <v>21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7.25" thickBot="1" x14ac:dyDescent="0.35">
      <c r="A5" s="10">
        <v>1</v>
      </c>
      <c r="B5" s="164">
        <v>44316</v>
      </c>
      <c r="C5" s="11">
        <f>IF(AND('(2) Family Pension'!$J$5="Yes",B5&gt;0),$G$44,IF(AND('(2) Family Pension'!$J$5&lt;&gt;"Yes",B5&gt;0),$P$46,0))</f>
        <v>0</v>
      </c>
      <c r="D5" s="11">
        <f>IF(AND('(2) Family Pension'!$J$5="Yes",C5&gt;0),$G$44*$G$50*K5,IF(AND('(2) Family Pension'!$J$5&lt;&gt;"Yes",C5&gt;0),$P$44*$P$50*K5,0))</f>
        <v>0</v>
      </c>
      <c r="E5" s="12">
        <f t="shared" ref="E5:E15" si="0">ROUND(SUM(C5:D5),0)</f>
        <v>0</v>
      </c>
      <c r="F5" s="13">
        <f>IF(G5=0,0,E5-G5)</f>
        <v>0</v>
      </c>
      <c r="G5" s="14"/>
      <c r="H5" s="15"/>
      <c r="I5" s="2"/>
      <c r="J5" s="17">
        <v>7849</v>
      </c>
      <c r="K5" s="34">
        <f t="shared" ref="K5:K16" si="1">IF(J5&gt;0,ROUND(IF($J$2="A",(J5-600)/4,IF($J$2="B",(J5-1148)/4,IF($J$2="C",(J5-1740)/4,IF($J$2="D",(J5-2328)/4,IF($J$2="E",(J5-2944)/4,IF($J$2="F",(J5-4709)/4,0)))))),0),0)</f>
        <v>0</v>
      </c>
      <c r="L5" s="328" t="s">
        <v>23</v>
      </c>
      <c r="M5" s="329"/>
      <c r="N5" s="329"/>
      <c r="O5" s="329"/>
      <c r="P5" s="33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5.75" x14ac:dyDescent="0.3">
      <c r="A6" s="10">
        <v>2</v>
      </c>
      <c r="B6" s="164">
        <v>44347</v>
      </c>
      <c r="C6" s="11">
        <f>IF(AND('(2) Family Pension'!$J$5="Yes",B6&gt;0),$G$44,IF(AND('(2) Family Pension'!$J$5&lt;&gt;"Yes",B6&gt;0),$P$46,0))</f>
        <v>0</v>
      </c>
      <c r="D6" s="11">
        <f>IF(AND('(2) Family Pension'!$J$5="Yes",C6&gt;0),$G$44*$G$50*K6,IF(AND('(2) Family Pension'!$J$5&lt;&gt;"Yes",C6&gt;0),$P$44*$P$50*K6,0))</f>
        <v>0</v>
      </c>
      <c r="E6" s="12">
        <f t="shared" si="0"/>
        <v>0</v>
      </c>
      <c r="F6" s="13">
        <f t="shared" ref="F6:F16" si="2">IF(G6=0,0,E6-G6)</f>
        <v>0</v>
      </c>
      <c r="G6" s="14"/>
      <c r="H6" s="15"/>
      <c r="I6" s="2"/>
      <c r="J6" s="16">
        <f>+J5</f>
        <v>7849</v>
      </c>
      <c r="K6" s="34">
        <f t="shared" si="1"/>
        <v>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75" x14ac:dyDescent="0.3">
      <c r="A7" s="10">
        <v>3</v>
      </c>
      <c r="B7" s="164">
        <v>44377</v>
      </c>
      <c r="C7" s="11">
        <f>IF(AND('(2) Family Pension'!$J$5="Yes",B7&gt;0),$G$44,IF(AND('(2) Family Pension'!$J$5&lt;&gt;"Yes",B7&gt;0),$P$46,0))</f>
        <v>0</v>
      </c>
      <c r="D7" s="11">
        <f>IF(AND('(2) Family Pension'!$J$5="Yes",C7&gt;0),$G$44*$G$50*K7,IF(AND('(2) Family Pension'!$J$5&lt;&gt;"Yes",C7&gt;0),$P$44*$P$50*K7,0))</f>
        <v>0</v>
      </c>
      <c r="E7" s="12">
        <f t="shared" si="0"/>
        <v>0</v>
      </c>
      <c r="F7" s="13">
        <f t="shared" si="2"/>
        <v>0</v>
      </c>
      <c r="G7" s="14"/>
      <c r="H7" s="15"/>
      <c r="I7" s="2"/>
      <c r="J7" s="16">
        <f>+J5</f>
        <v>7849</v>
      </c>
      <c r="K7" s="34">
        <f t="shared" si="1"/>
        <v>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6.5" thickBot="1" x14ac:dyDescent="0.35">
      <c r="A8" s="10">
        <v>4</v>
      </c>
      <c r="B8" s="164">
        <v>44408</v>
      </c>
      <c r="C8" s="11">
        <f>IF(AND('(2) Family Pension'!$J$5="Yes",B8&gt;0),$G$44,IF(AND('(2) Family Pension'!$J$5&lt;&gt;"Yes",B8&gt;0),$P$46,0))</f>
        <v>0</v>
      </c>
      <c r="D8" s="11">
        <f>IF(AND('(2) Family Pension'!$J$5="Yes",C8&gt;0),$G$44*$G$50*K8,IF(AND('(2) Family Pension'!$J$5&lt;&gt;"Yes",C8&gt;0),$P$44*$P$50*K8,0))</f>
        <v>0</v>
      </c>
      <c r="E8" s="12">
        <f t="shared" si="0"/>
        <v>0</v>
      </c>
      <c r="F8" s="13">
        <f t="shared" si="2"/>
        <v>0</v>
      </c>
      <c r="G8" s="14"/>
      <c r="H8" s="15"/>
      <c r="I8" s="2"/>
      <c r="J8" s="16">
        <f>+J5</f>
        <v>7849</v>
      </c>
      <c r="K8" s="34">
        <f t="shared" si="1"/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7.25" thickBot="1" x14ac:dyDescent="0.35">
      <c r="A9" s="10">
        <v>5</v>
      </c>
      <c r="B9" s="164">
        <v>44439</v>
      </c>
      <c r="C9" s="11">
        <f>IF(AND('(2) Family Pension'!$J$5="Yes",B9&gt;0),$G$44,IF(AND('(2) Family Pension'!$J$5&lt;&gt;"Yes",B9&gt;0),$P$46,0))</f>
        <v>0</v>
      </c>
      <c r="D9" s="11">
        <f>IF(AND('(2) Family Pension'!$J$5="Yes",C9&gt;0),$G$44*$G$50*K9,IF(AND('(2) Family Pension'!$J$5&lt;&gt;"Yes",C9&gt;0),$P$44*$P$50*K9,0))</f>
        <v>0</v>
      </c>
      <c r="E9" s="12">
        <f t="shared" si="0"/>
        <v>0</v>
      </c>
      <c r="F9" s="13">
        <f t="shared" si="2"/>
        <v>0</v>
      </c>
      <c r="G9" s="14"/>
      <c r="H9" s="15"/>
      <c r="I9" s="2"/>
      <c r="J9" s="17">
        <v>7941</v>
      </c>
      <c r="K9" s="34">
        <f t="shared" si="1"/>
        <v>0</v>
      </c>
      <c r="L9" s="328" t="s">
        <v>24</v>
      </c>
      <c r="M9" s="329"/>
      <c r="N9" s="329"/>
      <c r="O9" s="329"/>
      <c r="P9" s="33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.75" x14ac:dyDescent="0.3">
      <c r="A10" s="10">
        <v>6</v>
      </c>
      <c r="B10" s="164">
        <v>44469</v>
      </c>
      <c r="C10" s="11">
        <f>IF(AND('(2) Family Pension'!$J$5="Yes",B10&gt;0),$G$44,IF(AND('(2) Family Pension'!$J$5&lt;&gt;"Yes",B10&gt;0),$P$46,0))</f>
        <v>0</v>
      </c>
      <c r="D10" s="11">
        <f>IF(AND('(2) Family Pension'!$J$5="Yes",C10&gt;0),$G$44*$G$50*K10,IF(AND('(2) Family Pension'!$J$5&lt;&gt;"Yes",C10&gt;0),$P$44*$P$50*K10,0))</f>
        <v>0</v>
      </c>
      <c r="E10" s="12">
        <f t="shared" si="0"/>
        <v>0</v>
      </c>
      <c r="F10" s="13">
        <f t="shared" si="2"/>
        <v>0</v>
      </c>
      <c r="G10" s="14"/>
      <c r="H10" s="15"/>
      <c r="I10" s="2"/>
      <c r="J10" s="16">
        <f>+J9</f>
        <v>7941</v>
      </c>
      <c r="K10" s="34">
        <f t="shared" si="1"/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.75" x14ac:dyDescent="0.3">
      <c r="A11" s="10">
        <v>7</v>
      </c>
      <c r="B11" s="164">
        <v>44500</v>
      </c>
      <c r="C11" s="11">
        <f>IF(AND('(2) Family Pension'!$J$5="Yes",B11&gt;0),$G$44,IF(AND('(2) Family Pension'!$J$5&lt;&gt;"Yes",B11&gt;0),$P$46,0))</f>
        <v>0</v>
      </c>
      <c r="D11" s="11">
        <f>IF(AND('(2) Family Pension'!$J$5="Yes",C11&gt;0),$G$44*$G$50*K11,IF(AND('(2) Family Pension'!$J$5&lt;&gt;"Yes",C11&gt;0),$P$44*$P$50*K11,0))</f>
        <v>0</v>
      </c>
      <c r="E11" s="12">
        <f t="shared" si="0"/>
        <v>0</v>
      </c>
      <c r="F11" s="13">
        <f t="shared" si="2"/>
        <v>0</v>
      </c>
      <c r="G11" s="14"/>
      <c r="H11" s="15"/>
      <c r="I11" s="2"/>
      <c r="J11" s="16">
        <f>+J9</f>
        <v>7941</v>
      </c>
      <c r="K11" s="34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.75" x14ac:dyDescent="0.3">
      <c r="A12" s="10">
        <v>8</v>
      </c>
      <c r="B12" s="164">
        <v>44530</v>
      </c>
      <c r="C12" s="11">
        <f>IF(AND('(2) Family Pension'!$J$5="Yes",B12&gt;0),$G$44,IF(AND('(2) Family Pension'!$J$5&lt;&gt;"Yes",B12&gt;0),$P$46,0))</f>
        <v>0</v>
      </c>
      <c r="D12" s="11">
        <f>IF(AND('(2) Family Pension'!$J$5="Yes",C12&gt;0),$G$44*$G$50*K12,IF(AND('(2) Family Pension'!$J$5&lt;&gt;"Yes",C12&gt;0),$P$44*$P$50*K12,0))</f>
        <v>0</v>
      </c>
      <c r="E12" s="12">
        <f t="shared" si="0"/>
        <v>0</v>
      </c>
      <c r="F12" s="13">
        <f t="shared" si="2"/>
        <v>0</v>
      </c>
      <c r="G12" s="14"/>
      <c r="H12" s="15"/>
      <c r="I12" s="2"/>
      <c r="J12" s="16">
        <f>+J9</f>
        <v>7941</v>
      </c>
      <c r="K12" s="34">
        <f t="shared" si="1"/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.75" x14ac:dyDescent="0.3">
      <c r="A13" s="10">
        <v>9</v>
      </c>
      <c r="B13" s="164">
        <v>44561</v>
      </c>
      <c r="C13" s="11">
        <f>IF(AND('(2) Family Pension'!$J$5="Yes",B13&gt;0),$G$44,IF(AND('(2) Family Pension'!$J$5&lt;&gt;"Yes",B13&gt;0),$P$46,0))</f>
        <v>0</v>
      </c>
      <c r="D13" s="11">
        <f>IF(AND('(2) Family Pension'!$J$5="Yes",C13&gt;0),$G$44*$G$50*K13,IF(AND('(2) Family Pension'!$J$5&lt;&gt;"Yes",C13&gt;0),$P$44*$P$50*K13,0))</f>
        <v>0</v>
      </c>
      <c r="E13" s="12">
        <f t="shared" si="0"/>
        <v>0</v>
      </c>
      <c r="F13" s="13">
        <f t="shared" si="2"/>
        <v>0</v>
      </c>
      <c r="G13" s="14"/>
      <c r="H13" s="15"/>
      <c r="I13" s="2"/>
      <c r="J13" s="16">
        <f>+J9</f>
        <v>7941</v>
      </c>
      <c r="K13" s="34">
        <f t="shared" si="1"/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6.5" thickBot="1" x14ac:dyDescent="0.35">
      <c r="A14" s="10">
        <v>10</v>
      </c>
      <c r="B14" s="164">
        <v>44592</v>
      </c>
      <c r="C14" s="11">
        <f>IF(AND('(2) Family Pension'!$J$5="Yes",B14&gt;0),$G$44,IF(AND('(2) Family Pension'!$J$5&lt;&gt;"Yes",B14&gt;0),$P$46,0))</f>
        <v>0</v>
      </c>
      <c r="D14" s="11">
        <f>IF(AND('(2) Family Pension'!$J$5="Yes",C14&gt;0),$G$44*$G$50*K14,IF(AND('(2) Family Pension'!$J$5&lt;&gt;"Yes",C14&gt;0),$P$44*$P$50*K14,0))</f>
        <v>0</v>
      </c>
      <c r="E14" s="12">
        <f t="shared" si="0"/>
        <v>0</v>
      </c>
      <c r="F14" s="13">
        <f t="shared" si="2"/>
        <v>0</v>
      </c>
      <c r="G14" s="14"/>
      <c r="H14" s="15"/>
      <c r="I14" s="2"/>
      <c r="J14" s="16">
        <f>+J9</f>
        <v>7941</v>
      </c>
      <c r="K14" s="34">
        <f t="shared" si="1"/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7.25" thickBot="1" x14ac:dyDescent="0.35">
      <c r="A15" s="10">
        <v>11</v>
      </c>
      <c r="B15" s="164">
        <v>44620</v>
      </c>
      <c r="C15" s="11">
        <f>IF(AND('(2) Family Pension'!$J$5="Yes",B15&gt;0),$G$44,IF(AND('(2) Family Pension'!$J$5&lt;&gt;"Yes",B15&gt;0),$P$46,0))</f>
        <v>0</v>
      </c>
      <c r="D15" s="11">
        <f>IF(AND('(2) Family Pension'!$J$5="Yes",C15&gt;0),$G$44*$G$50*K15,IF(AND('(2) Family Pension'!$J$5&lt;&gt;"Yes",C15&gt;0),$P$44*$P$50*K15,0))</f>
        <v>0</v>
      </c>
      <c r="E15" s="12">
        <f t="shared" si="0"/>
        <v>0</v>
      </c>
      <c r="F15" s="13">
        <f t="shared" si="2"/>
        <v>0</v>
      </c>
      <c r="G15" s="14"/>
      <c r="H15" s="15"/>
      <c r="I15" s="2"/>
      <c r="J15" s="17">
        <v>8239</v>
      </c>
      <c r="K15" s="34">
        <f t="shared" si="1"/>
        <v>0</v>
      </c>
      <c r="L15" s="328" t="s">
        <v>25</v>
      </c>
      <c r="M15" s="329"/>
      <c r="N15" s="329"/>
      <c r="O15" s="329"/>
      <c r="P15" s="3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6.5" thickBot="1" x14ac:dyDescent="0.35">
      <c r="A16" s="10">
        <v>12</v>
      </c>
      <c r="B16" s="164">
        <v>44651</v>
      </c>
      <c r="C16" s="11">
        <f>IF(AND('(2) Family Pension'!$J$5="Yes",B16&gt;0),$G$44,IF(AND('(2) Family Pension'!$J$5&lt;&gt;"Yes",B16&gt;0),$P$46,0))</f>
        <v>0</v>
      </c>
      <c r="D16" s="11">
        <f>IF(AND('(2) Family Pension'!$J$5="Yes",C16&gt;0),$G$44*$G$50*K16,IF(AND('(2) Family Pension'!$J$5&lt;&gt;"Yes",C16&gt;0),$P$44*$P$50*K16,0))</f>
        <v>0</v>
      </c>
      <c r="E16" s="12">
        <f>ROUND(SUM(C16:D16),0)</f>
        <v>0</v>
      </c>
      <c r="F16" s="13">
        <f t="shared" si="2"/>
        <v>0</v>
      </c>
      <c r="G16" s="14"/>
      <c r="H16" s="15"/>
      <c r="I16" s="2"/>
      <c r="J16" s="16">
        <f>+J15</f>
        <v>8239</v>
      </c>
      <c r="K16" s="34">
        <f t="shared" si="1"/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.75" thickBot="1" x14ac:dyDescent="0.3">
      <c r="A17" s="18" t="s">
        <v>22</v>
      </c>
      <c r="B17" s="19"/>
      <c r="C17" s="20">
        <f>SUM(C5:C16)</f>
        <v>0</v>
      </c>
      <c r="D17" s="20">
        <f>SUM(D5:D16)</f>
        <v>0</v>
      </c>
      <c r="E17" s="20">
        <f>SUM(E5:E16)</f>
        <v>0</v>
      </c>
      <c r="F17" s="20">
        <f>SUM(F5:F16)</f>
        <v>0</v>
      </c>
      <c r="G17" s="21">
        <f>SUM(G5:G16)</f>
        <v>0</v>
      </c>
      <c r="H17" s="22"/>
      <c r="I17" s="2"/>
      <c r="J17" s="23"/>
      <c r="K17" s="2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.75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.75" thickBot="1" x14ac:dyDescent="0.3">
      <c r="A19" s="5" t="s">
        <v>1</v>
      </c>
      <c r="B19" s="6" t="s">
        <v>64</v>
      </c>
      <c r="C19" s="6" t="s">
        <v>15</v>
      </c>
      <c r="D19" s="6" t="s">
        <v>17</v>
      </c>
      <c r="E19" s="6" t="s">
        <v>18</v>
      </c>
      <c r="F19" s="6" t="s">
        <v>16</v>
      </c>
      <c r="G19" s="7" t="s">
        <v>19</v>
      </c>
      <c r="H19" s="8" t="s">
        <v>20</v>
      </c>
      <c r="I19" s="2"/>
      <c r="J19" s="9" t="s">
        <v>21</v>
      </c>
      <c r="K19" s="9" t="s">
        <v>21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.75" x14ac:dyDescent="0.3">
      <c r="A20" s="10">
        <v>1</v>
      </c>
      <c r="B20" s="165"/>
      <c r="C20" s="11">
        <f>IF(AND('(2) Family Pension'!$J$5="Yes",B20&gt;0),$G$44,IF(AND('(2) Family Pension'!$J$5&lt;&gt;"Yes",B20&gt;0),$P$46,0))</f>
        <v>0</v>
      </c>
      <c r="D20" s="11">
        <f>IF(AND('(2) Family Pension'!$J$5="Yes",C20&gt;0),$G$44*$G$50*K20,IF(AND('(2) Family Pension'!$J$5&lt;&gt;"Yes",C20&gt;0),$P$44*$P$50*K20,0))</f>
        <v>0</v>
      </c>
      <c r="E20" s="24">
        <f>ROUND(SUM(C20:D20),0)</f>
        <v>0</v>
      </c>
      <c r="F20" s="25">
        <f t="shared" ref="F20:F31" si="3">IF(G20=0,0,E20-G20)</f>
        <v>0</v>
      </c>
      <c r="G20" s="26"/>
      <c r="H20" s="27"/>
      <c r="I20" s="2"/>
      <c r="J20" s="16">
        <f>+J15</f>
        <v>8239</v>
      </c>
      <c r="K20" s="34">
        <f t="shared" ref="K20:K31" si="4">IF(J20&gt;0,ROUND(IF($J$2="A",(J20-600)/4,IF($J$2="B",(J20-1148)/4,IF($J$2="C",(J20-1740)/4,IF($J$2="D",(J20-2328)/4,IF($J$2="E",(J20-2944)/4,IF($J$2="F",(J20-4709)/4,0)))))),0),0)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.75" x14ac:dyDescent="0.3">
      <c r="A21" s="10">
        <v>2</v>
      </c>
      <c r="B21" s="165"/>
      <c r="C21" s="11">
        <f>IF(AND('(2) Family Pension'!$J$5="Yes",B21&gt;0),$G$44,IF(AND('(2) Family Pension'!$J$5&lt;&gt;"Yes",B21&gt;0),$P$46,0))</f>
        <v>0</v>
      </c>
      <c r="D21" s="11">
        <f>IF(AND('(2) Family Pension'!$J$5="Yes",C21&gt;0),$G$44*$G$50*K21,IF(AND('(2) Family Pension'!$J$5&lt;&gt;"Yes",C21&gt;0),$P$44*$P$50*K21,0))</f>
        <v>0</v>
      </c>
      <c r="E21" s="24">
        <f t="shared" ref="E21:E31" si="5">ROUND(SUM(C21:D21),0)</f>
        <v>0</v>
      </c>
      <c r="F21" s="28">
        <f t="shared" si="3"/>
        <v>0</v>
      </c>
      <c r="G21" s="29"/>
      <c r="H21" s="27"/>
      <c r="I21" s="2"/>
      <c r="J21" s="16">
        <f>+J15</f>
        <v>8239</v>
      </c>
      <c r="K21" s="34">
        <f t="shared" si="4"/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.75" x14ac:dyDescent="0.3">
      <c r="A22" s="10">
        <v>3</v>
      </c>
      <c r="B22" s="165"/>
      <c r="C22" s="11">
        <f>IF(AND('(2) Family Pension'!$J$5="Yes",B22&gt;0),$G$44,IF(AND('(2) Family Pension'!$J$5&lt;&gt;"Yes",B22&gt;0),$P$46,0))</f>
        <v>0</v>
      </c>
      <c r="D22" s="11">
        <f>IF(AND('(2) Family Pension'!$J$5="Yes",C22&gt;0),$G$44*$G$50*K22,IF(AND('(2) Family Pension'!$J$5&lt;&gt;"Yes",C22&gt;0),$P$44*$P$50*K22,0))</f>
        <v>0</v>
      </c>
      <c r="E22" s="24">
        <f t="shared" si="5"/>
        <v>0</v>
      </c>
      <c r="F22" s="28">
        <f t="shared" si="3"/>
        <v>0</v>
      </c>
      <c r="G22" s="29"/>
      <c r="H22" s="27"/>
      <c r="I22" s="2"/>
      <c r="J22" s="16">
        <f>+J15</f>
        <v>8239</v>
      </c>
      <c r="K22" s="34">
        <f t="shared" si="4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6.5" thickBot="1" x14ac:dyDescent="0.35">
      <c r="A23" s="10">
        <v>4</v>
      </c>
      <c r="B23" s="165"/>
      <c r="C23" s="11">
        <f>IF(AND('(2) Family Pension'!$J$5="Yes",B23&gt;0),$G$44,IF(AND('(2) Family Pension'!$J$5&lt;&gt;"Yes",B23&gt;0),$P$46,0))</f>
        <v>0</v>
      </c>
      <c r="D23" s="11">
        <f>IF(AND('(2) Family Pension'!$J$5="Yes",C23&gt;0),$G$44*$G$50*K23,IF(AND('(2) Family Pension'!$J$5&lt;&gt;"Yes",C23&gt;0),$P$44*$P$50*K23,0))</f>
        <v>0</v>
      </c>
      <c r="E23" s="24">
        <f t="shared" si="5"/>
        <v>0</v>
      </c>
      <c r="F23" s="28">
        <f t="shared" si="3"/>
        <v>0</v>
      </c>
      <c r="G23" s="29"/>
      <c r="H23" s="27"/>
      <c r="I23" s="2"/>
      <c r="J23" s="16">
        <f>+J15</f>
        <v>8239</v>
      </c>
      <c r="K23" s="34">
        <f t="shared" si="4"/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7.25" thickBot="1" x14ac:dyDescent="0.35">
      <c r="A24" s="10">
        <v>5</v>
      </c>
      <c r="B24" s="165"/>
      <c r="C24" s="11">
        <f>IF(AND('(2) Family Pension'!$J$5="Yes",B24&gt;0),$G$44,IF(AND('(2) Family Pension'!$J$5&lt;&gt;"Yes",B24&gt;0),$P$46,0))</f>
        <v>0</v>
      </c>
      <c r="D24" s="11">
        <f>IF(AND('(2) Family Pension'!$J$5="Yes",C24&gt;0),$G$44*$G$50*K24,IF(AND('(2) Family Pension'!$J$5&lt;&gt;"Yes",C24&gt;0),$P$44*$P$50*K24,0))</f>
        <v>0</v>
      </c>
      <c r="E24" s="24">
        <f t="shared" si="5"/>
        <v>0</v>
      </c>
      <c r="F24" s="28">
        <f t="shared" si="3"/>
        <v>0</v>
      </c>
      <c r="G24" s="29"/>
      <c r="H24" s="27"/>
      <c r="I24" s="2"/>
      <c r="J24" s="17">
        <v>7941</v>
      </c>
      <c r="K24" s="34">
        <f t="shared" si="4"/>
        <v>0</v>
      </c>
      <c r="L24" s="328" t="s">
        <v>26</v>
      </c>
      <c r="M24" s="329"/>
      <c r="N24" s="329"/>
      <c r="O24" s="329"/>
      <c r="P24" s="33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.75" x14ac:dyDescent="0.3">
      <c r="A25" s="10">
        <v>6</v>
      </c>
      <c r="B25" s="165"/>
      <c r="C25" s="11">
        <f>IF(AND('(2) Family Pension'!$J$5="Yes",B25&gt;0),$G$44,IF(AND('(2) Family Pension'!$J$5&lt;&gt;"Yes",B25&gt;0),$P$46,0))</f>
        <v>0</v>
      </c>
      <c r="D25" s="11">
        <f>IF(AND('(2) Family Pension'!$J$5="Yes",C25&gt;0),$G$44*$G$50*K25,IF(AND('(2) Family Pension'!$J$5&lt;&gt;"Yes",C25&gt;0),$P$44*$P$50*K25,0))</f>
        <v>0</v>
      </c>
      <c r="E25" s="24">
        <f t="shared" si="5"/>
        <v>0</v>
      </c>
      <c r="F25" s="28">
        <f t="shared" si="3"/>
        <v>0</v>
      </c>
      <c r="G25" s="29"/>
      <c r="H25" s="27"/>
      <c r="I25" s="2"/>
      <c r="J25" s="16">
        <f>+J24</f>
        <v>7941</v>
      </c>
      <c r="K25" s="34">
        <f t="shared" si="4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.75" x14ac:dyDescent="0.3">
      <c r="A26" s="10">
        <v>7</v>
      </c>
      <c r="B26" s="165"/>
      <c r="C26" s="11">
        <f>IF(AND('(2) Family Pension'!$J$5="Yes",B26&gt;0),$G$44,IF(AND('(2) Family Pension'!$J$5&lt;&gt;"Yes",B26&gt;0),$P$46,0))</f>
        <v>0</v>
      </c>
      <c r="D26" s="11">
        <f>IF(AND('(2) Family Pension'!$J$5="Yes",C26&gt;0),$G$44*$G$50*K26,IF(AND('(2) Family Pension'!$J$5&lt;&gt;"Yes",C26&gt;0),$P$44*$P$50*K26,0))</f>
        <v>0</v>
      </c>
      <c r="E26" s="24">
        <f t="shared" si="5"/>
        <v>0</v>
      </c>
      <c r="F26" s="28">
        <f t="shared" si="3"/>
        <v>0</v>
      </c>
      <c r="G26" s="29"/>
      <c r="H26" s="27"/>
      <c r="I26" s="2"/>
      <c r="J26" s="16">
        <f>+J24</f>
        <v>7941</v>
      </c>
      <c r="K26" s="34">
        <f t="shared" si="4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.75" x14ac:dyDescent="0.3">
      <c r="A27" s="10">
        <v>8</v>
      </c>
      <c r="B27" s="165"/>
      <c r="C27" s="11">
        <f>IF(AND('(2) Family Pension'!$J$5="Yes",B27&gt;0),$G$44,IF(AND('(2) Family Pension'!$J$5&lt;&gt;"Yes",B27&gt;0),$P$46,0))</f>
        <v>0</v>
      </c>
      <c r="D27" s="11">
        <f>IF(AND('(2) Family Pension'!$J$5="Yes",C27&gt;0),$G$44*$G$50*K27,IF(AND('(2) Family Pension'!$J$5&lt;&gt;"Yes",C27&gt;0),$P$44*$P$50*K27,0))</f>
        <v>0</v>
      </c>
      <c r="E27" s="24">
        <f t="shared" si="5"/>
        <v>0</v>
      </c>
      <c r="F27" s="28">
        <f t="shared" si="3"/>
        <v>0</v>
      </c>
      <c r="G27" s="29"/>
      <c r="H27" s="27"/>
      <c r="I27" s="2"/>
      <c r="J27" s="16">
        <f>+J24</f>
        <v>7941</v>
      </c>
      <c r="K27" s="34">
        <f t="shared" si="4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.75" x14ac:dyDescent="0.3">
      <c r="A28" s="10">
        <v>9</v>
      </c>
      <c r="B28" s="165"/>
      <c r="C28" s="11">
        <f>IF(AND('(2) Family Pension'!$J$5="Yes",B28&gt;0),$G$44,IF(AND('(2) Family Pension'!$J$5&lt;&gt;"Yes",B28&gt;0),$P$46,0))</f>
        <v>0</v>
      </c>
      <c r="D28" s="11">
        <f>IF(AND('(2) Family Pension'!$J$5="Yes",C28&gt;0),$G$44*$G$50*K28,IF(AND('(2) Family Pension'!$J$5&lt;&gt;"Yes",C28&gt;0),$P$44*$P$50*K28,0))</f>
        <v>0</v>
      </c>
      <c r="E28" s="24">
        <f t="shared" si="5"/>
        <v>0</v>
      </c>
      <c r="F28" s="28">
        <f t="shared" si="3"/>
        <v>0</v>
      </c>
      <c r="G28" s="29"/>
      <c r="H28" s="27"/>
      <c r="I28" s="2"/>
      <c r="J28" s="16">
        <f>+J24</f>
        <v>7941</v>
      </c>
      <c r="K28" s="34">
        <f t="shared" si="4"/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6.5" thickBot="1" x14ac:dyDescent="0.35">
      <c r="A29" s="10">
        <v>10</v>
      </c>
      <c r="B29" s="165"/>
      <c r="C29" s="11">
        <f>IF(AND('(2) Family Pension'!$J$5="Yes",B29&gt;0),$G$44,IF(AND('(2) Family Pension'!$J$5&lt;&gt;"Yes",B29&gt;0),$P$46,0))</f>
        <v>0</v>
      </c>
      <c r="D29" s="11">
        <f>IF(AND('(2) Family Pension'!$J$5="Yes",C29&gt;0),$G$44*$G$50*K29,IF(AND('(2) Family Pension'!$J$5&lt;&gt;"Yes",C29&gt;0),$P$44*$P$50*K29,0))</f>
        <v>0</v>
      </c>
      <c r="E29" s="24">
        <f t="shared" si="5"/>
        <v>0</v>
      </c>
      <c r="F29" s="28">
        <f t="shared" si="3"/>
        <v>0</v>
      </c>
      <c r="G29" s="29"/>
      <c r="H29" s="27"/>
      <c r="I29" s="2"/>
      <c r="J29" s="16">
        <f>+J24</f>
        <v>7941</v>
      </c>
      <c r="K29" s="34">
        <f t="shared" si="4"/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7.25" thickBot="1" x14ac:dyDescent="0.35">
      <c r="A30" s="10">
        <v>11</v>
      </c>
      <c r="B30" s="165"/>
      <c r="C30" s="11">
        <f>IF(AND('(2) Family Pension'!$J$5="Yes",B30&gt;0),$G$44,IF(AND('(2) Family Pension'!$J$5&lt;&gt;"Yes",B30&gt;0),$P$46,0))</f>
        <v>0</v>
      </c>
      <c r="D30" s="11">
        <f>IF(AND('(2) Family Pension'!$J$5="Yes",C30&gt;0),$G$44*$G$50*K30,IF(AND('(2) Family Pension'!$J$5&lt;&gt;"Yes",C30&gt;0),$P$44*$P$50*K30,0))</f>
        <v>0</v>
      </c>
      <c r="E30" s="24">
        <f t="shared" si="5"/>
        <v>0</v>
      </c>
      <c r="F30" s="28">
        <f t="shared" si="3"/>
        <v>0</v>
      </c>
      <c r="G30" s="29"/>
      <c r="H30" s="27"/>
      <c r="I30" s="2"/>
      <c r="J30" s="17"/>
      <c r="K30" s="34">
        <f t="shared" si="4"/>
        <v>0</v>
      </c>
      <c r="L30" s="328" t="s">
        <v>27</v>
      </c>
      <c r="M30" s="329"/>
      <c r="N30" s="329"/>
      <c r="O30" s="329"/>
      <c r="P30" s="33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6.5" thickBot="1" x14ac:dyDescent="0.35">
      <c r="A31" s="10">
        <v>12</v>
      </c>
      <c r="B31" s="165"/>
      <c r="C31" s="11">
        <f>IF(AND('(2) Family Pension'!$J$5="Yes",B31&gt;0),$G$44,IF(AND('(2) Family Pension'!$J$5&lt;&gt;"Yes",B31&gt;0),$P$46,0))</f>
        <v>0</v>
      </c>
      <c r="D31" s="11">
        <f>IF(AND('(2) Family Pension'!$J$5="Yes",C31&gt;0),$G$44*$G$50*K31,IF(AND('(2) Family Pension'!$J$5&lt;&gt;"Yes",C31&gt;0),$P$44*$P$50*K31,0))</f>
        <v>0</v>
      </c>
      <c r="E31" s="24">
        <f t="shared" si="5"/>
        <v>0</v>
      </c>
      <c r="F31" s="28">
        <f t="shared" si="3"/>
        <v>0</v>
      </c>
      <c r="G31" s="29"/>
      <c r="H31" s="27"/>
      <c r="I31" s="2"/>
      <c r="J31" s="16">
        <f>+J30</f>
        <v>0</v>
      </c>
      <c r="K31" s="34">
        <f t="shared" si="4"/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.75" thickBot="1" x14ac:dyDescent="0.3">
      <c r="A32" s="30" t="s">
        <v>22</v>
      </c>
      <c r="B32" s="31"/>
      <c r="C32" s="32">
        <f>SUM(C20:C31)</f>
        <v>0</v>
      </c>
      <c r="D32" s="32">
        <f>SUM(D20:D31)</f>
        <v>0</v>
      </c>
      <c r="E32" s="32">
        <f>SUM(E20:E31)</f>
        <v>0</v>
      </c>
      <c r="F32" s="32">
        <f>SUM(F20:F31)</f>
        <v>0</v>
      </c>
      <c r="G32" s="33">
        <f>SUM(G20:G31)</f>
        <v>0</v>
      </c>
      <c r="H32" s="22"/>
      <c r="I32" s="2"/>
      <c r="J32" s="23"/>
      <c r="K32" s="2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.75" hidden="1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6.5" hidden="1" x14ac:dyDescent="0.25">
      <c r="A40" s="2"/>
      <c r="B40" s="2"/>
      <c r="C40" s="2"/>
      <c r="D40" s="2"/>
      <c r="E40" s="2"/>
      <c r="F40" s="331" t="str">
        <f>IF('(2) Family Pension'!$J$5="Yes","Family Pension","Pension")</f>
        <v>Pension</v>
      </c>
      <c r="G40" s="332"/>
      <c r="H40" s="332"/>
      <c r="I40" s="332"/>
      <c r="J40" s="3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7.25" hidden="1" thickBot="1" x14ac:dyDescent="0.3">
      <c r="A41" s="2"/>
      <c r="B41" s="2"/>
      <c r="C41" s="2"/>
      <c r="D41" s="2"/>
      <c r="E41" s="2"/>
      <c r="F41" s="334">
        <f>IF('(2) Family Pension'!$J$5="Yes",'(2) Family Pension'!$E$5,'(1) Pension'!$E$5)</f>
        <v>0</v>
      </c>
      <c r="G41" s="335"/>
      <c r="H41" s="335"/>
      <c r="I41" s="335"/>
      <c r="J41" s="33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hidden="1" thickBot="1" x14ac:dyDescent="0.3">
      <c r="A43" s="6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7.25" hidden="1" thickBot="1" x14ac:dyDescent="0.3">
      <c r="A44" s="325" t="s">
        <v>59</v>
      </c>
      <c r="B44" s="325"/>
      <c r="C44" s="325"/>
      <c r="D44" s="325"/>
      <c r="E44" s="325"/>
      <c r="F44" s="153"/>
      <c r="G44" s="154">
        <f>IF($J$2="A",'(3) DR &amp; Total Pension'!$G$8,IF($J$2="B",'(3) DR &amp; Total Pension'!$J$8,IF($J$2="C",'(3) DR &amp; Total Pension'!$M$8,IF($J$2="D",'(3) DR &amp; Total Pension'!$P$8,IF($J$2="E",'(3) DR &amp; Total Pension'!$S$8,IF($J$2="F",'(3) DR &amp; Total Pension'!$V$8,0))))))</f>
        <v>0</v>
      </c>
      <c r="H44" s="153"/>
      <c r="I44" s="153"/>
      <c r="J44" s="325" t="s">
        <v>195</v>
      </c>
      <c r="K44" s="325"/>
      <c r="L44" s="325"/>
      <c r="M44" s="325"/>
      <c r="N44" s="325"/>
      <c r="O44" s="153"/>
      <c r="P44" s="154">
        <f>IF($J$2="A",'(3) DR &amp; Total Pension'!$E$6,IF($J$2="B",'(3) DR &amp; Total Pension'!$H$6,IF($J$2="C",'(3) DR &amp; Total Pension'!$K$6,IF($J$2="D",'(3) DR &amp; Total Pension'!$N$6,IF($J$2="E",'(3) DR &amp; Total Pension'!$Q$6,IF($J$2="F",'(3) DR &amp; Total Pension'!$T$6,0))))))</f>
        <v>0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7.25" hidden="1" thickBot="1" x14ac:dyDescent="0.3">
      <c r="A45" s="156"/>
      <c r="B45" s="156"/>
      <c r="C45" s="156"/>
      <c r="D45" s="156"/>
      <c r="E45" s="156"/>
      <c r="F45" s="153"/>
      <c r="G45" s="153"/>
      <c r="H45" s="153"/>
      <c r="I45" s="153"/>
      <c r="J45" s="156"/>
      <c r="K45" s="156"/>
      <c r="L45" s="156"/>
      <c r="M45" s="156"/>
      <c r="N45" s="156"/>
      <c r="O45" s="153"/>
      <c r="P45" s="15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7.25" hidden="1" thickBot="1" x14ac:dyDescent="0.3">
      <c r="A46" s="325" t="s">
        <v>60</v>
      </c>
      <c r="B46" s="325"/>
      <c r="C46" s="325"/>
      <c r="D46" s="325"/>
      <c r="E46" s="325"/>
      <c r="F46" s="153"/>
      <c r="G46" s="154">
        <f>IF($J$2="A",'(3) DR &amp; Total Pension'!$E$8,IF($J$2="B",'(3) DR &amp; Total Pension'!$H$8,IF($J$2="C",'(3) DR &amp; Total Pension'!$K$8,IF($J$2="D",'(3) DR &amp; Total Pension'!$N$8,IF($J$2="E",'(3) DR &amp; Total Pension'!$Q$8,IF($J$2="F",'(3) DR &amp; Total Pension'!$T$8,0))))))</f>
        <v>0</v>
      </c>
      <c r="H46" s="153"/>
      <c r="I46" s="153"/>
      <c r="J46" s="325" t="s">
        <v>196</v>
      </c>
      <c r="K46" s="325"/>
      <c r="L46" s="325"/>
      <c r="M46" s="325"/>
      <c r="N46" s="325"/>
      <c r="O46" s="153"/>
      <c r="P46" s="154">
        <f>IF($J$2="A",'(3) DR &amp; Total Pension'!$E$7,IF($J$2="B",'(3) DR &amp; Total Pension'!$H$7,IF($J$2="C",'(3) DR &amp; Total Pension'!$K$7,IF($J$2="D",'(3) DR &amp; Total Pension'!$N$7,IF($J$2="E",'(3) DR &amp; Total Pension'!$Q$7,IF($J$2="F",'(3) DR &amp; Total Pension'!$T$7,0))))))</f>
        <v>0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7.25" hidden="1" thickBot="1" x14ac:dyDescent="0.3">
      <c r="A47" s="156"/>
      <c r="B47" s="156"/>
      <c r="C47" s="156"/>
      <c r="D47" s="156"/>
      <c r="E47" s="156"/>
      <c r="F47" s="153"/>
      <c r="G47" s="153"/>
      <c r="H47" s="153"/>
      <c r="I47" s="153"/>
      <c r="J47" s="156"/>
      <c r="K47" s="156"/>
      <c r="L47" s="156"/>
      <c r="M47" s="156"/>
      <c r="N47" s="156"/>
      <c r="O47" s="153"/>
      <c r="P47" s="15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7.25" hidden="1" thickBot="1" x14ac:dyDescent="0.3">
      <c r="A48" s="325" t="s">
        <v>61</v>
      </c>
      <c r="B48" s="325"/>
      <c r="C48" s="325"/>
      <c r="D48" s="325"/>
      <c r="E48" s="325"/>
      <c r="F48" s="153"/>
      <c r="G48" s="154">
        <f>IF($J$2="A",'(3) DR &amp; Total Pension'!$E$9,IF($J$2="B",'(3) DR &amp; Total Pension'!$H$9,IF($J$2="C",'(3) DR &amp; Total Pension'!$K$9,IF($J$2="D",'(3) DR &amp; Total Pension'!$N$9,IF($J$2="E",'(3) DR &amp; Total Pension'!$Q$9,IF($J$2="F",'(3) DR &amp; Total Pension'!$T$9,0))))))</f>
        <v>0</v>
      </c>
      <c r="H48" s="153"/>
      <c r="I48" s="153"/>
      <c r="J48" s="156"/>
      <c r="K48" s="156"/>
      <c r="L48" s="156"/>
      <c r="M48" s="156"/>
      <c r="N48" s="156"/>
      <c r="O48" s="153"/>
      <c r="P48" s="153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7.25" hidden="1" thickBot="1" x14ac:dyDescent="0.3">
      <c r="A49" s="156"/>
      <c r="B49" s="156"/>
      <c r="C49" s="156"/>
      <c r="D49" s="156"/>
      <c r="E49" s="156"/>
      <c r="F49" s="153"/>
      <c r="G49" s="153"/>
      <c r="H49" s="153"/>
      <c r="I49" s="153"/>
      <c r="J49" s="156"/>
      <c r="K49" s="156"/>
      <c r="L49" s="156"/>
      <c r="M49" s="156"/>
      <c r="N49" s="156"/>
      <c r="O49" s="153"/>
      <c r="P49" s="153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7.25" hidden="1" thickBot="1" x14ac:dyDescent="0.3">
      <c r="A50" s="325" t="s">
        <v>62</v>
      </c>
      <c r="B50" s="325"/>
      <c r="C50" s="325"/>
      <c r="D50" s="325"/>
      <c r="E50" s="325"/>
      <c r="F50" s="153"/>
      <c r="G50" s="155">
        <f>IF($J$2="A",0.0067,IF($J$2="B",0.0035,IF($J$2="C",0.0023,IF($J$2="D",0.0018,IF($J$2="E",0.0015,IF($J$2="F",0.001,0))))))</f>
        <v>0</v>
      </c>
      <c r="H50" s="153"/>
      <c r="I50" s="153"/>
      <c r="J50" s="325" t="s">
        <v>62</v>
      </c>
      <c r="K50" s="325"/>
      <c r="L50" s="325"/>
      <c r="M50" s="325"/>
      <c r="N50" s="325"/>
      <c r="O50" s="153"/>
      <c r="P50" s="157">
        <f>IF($J$2="A",0.0067,IF($J$2="B",0.0035,IF($J$2="C",0.0023,IF($J$2="D",0.0018,IF($J$2="E",0.0015,IF($J$2="F",0.001,0))))))</f>
        <v>0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</sheetData>
  <sheetProtection password="C7AA" sheet="1" objects="1" scenarios="1"/>
  <mergeCells count="17">
    <mergeCell ref="J50:N50"/>
    <mergeCell ref="F40:J40"/>
    <mergeCell ref="F41:J41"/>
    <mergeCell ref="A44:E44"/>
    <mergeCell ref="A46:E46"/>
    <mergeCell ref="A48:E48"/>
    <mergeCell ref="A50:E50"/>
    <mergeCell ref="A1:I1"/>
    <mergeCell ref="J1:P1"/>
    <mergeCell ref="J44:N44"/>
    <mergeCell ref="J46:N46"/>
    <mergeCell ref="A2:I2"/>
    <mergeCell ref="L24:P24"/>
    <mergeCell ref="L30:P30"/>
    <mergeCell ref="L5:P5"/>
    <mergeCell ref="L9:P9"/>
    <mergeCell ref="L15:P15"/>
  </mergeCells>
  <pageMargins left="0.7" right="0.7" top="0.75" bottom="0.75" header="0.3" footer="0.3"/>
  <pageSetup paperSize="5" orientation="landscape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(1) Pension</vt:lpstr>
      <vt:lpstr>(2) Family Pension</vt:lpstr>
      <vt:lpstr>(3) DR &amp; Total Pension</vt:lpstr>
      <vt:lpstr>(4) TDS</vt:lpstr>
      <vt:lpstr>'(3) DR &amp; Total Pension'!Print_Area</vt:lpstr>
      <vt:lpstr>'(4) TDS'!Print_Area</vt:lpstr>
      <vt:lpstr>'(3) DR &amp; Total Pension'!Print_Titles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Shekhar</dc:creator>
  <cp:lastModifiedBy>Acer</cp:lastModifiedBy>
  <cp:lastPrinted>2021-02-03T14:18:45Z</cp:lastPrinted>
  <dcterms:created xsi:type="dcterms:W3CDTF">2020-09-18T13:36:28Z</dcterms:created>
  <dcterms:modified xsi:type="dcterms:W3CDTF">2022-02-10T20:29:37Z</dcterms:modified>
</cp:coreProperties>
</file>